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" windowWidth="6735" windowHeight="47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<sst xmlns="http://schemas.openxmlformats.org/spreadsheetml/2006/main" count="106" uniqueCount="61">
  <si>
    <t>Объем производства продукции (преформ/бут), млн. шт.</t>
  </si>
  <si>
    <t>Цена реализации ед. продукции (преформ/бут), грн.</t>
  </si>
  <si>
    <t>Стоимость приобретаемого оборудования, млн. грн.</t>
  </si>
  <si>
    <t>Стоимость монтажных и пуско-наладочных работ, грн.</t>
  </si>
  <si>
    <t>Заработная плата основного производственного персонала, грн./шт.</t>
  </si>
  <si>
    <t>Прочие переменные издержки на ед продукции, грн</t>
  </si>
  <si>
    <t>Прочие постоянные издержки, грн.</t>
  </si>
  <si>
    <t>Выручка от ликвидации объекта, грн.</t>
  </si>
  <si>
    <t>Доля инвестора в прибыли, %</t>
  </si>
  <si>
    <t>Расчетная процентная ставка, %</t>
  </si>
  <si>
    <t>Срок эксплуатации объекта</t>
  </si>
  <si>
    <t>№</t>
  </si>
  <si>
    <t>Показатель</t>
  </si>
  <si>
    <t>Проект А</t>
  </si>
  <si>
    <t>Проект Б</t>
  </si>
  <si>
    <t>Значение</t>
  </si>
  <si>
    <t>Преформы</t>
  </si>
  <si>
    <t>Бутылки</t>
  </si>
  <si>
    <t>Значения по месяцам</t>
  </si>
  <si>
    <t>Объем производства,млн</t>
  </si>
  <si>
    <t>Собств.ср-ва</t>
  </si>
  <si>
    <t>Кредит, тыс.грн</t>
  </si>
  <si>
    <t>Монтаж.и п-нал.работы,тыс.</t>
  </si>
  <si>
    <t>Приобретение оборуд-я,тыс.</t>
  </si>
  <si>
    <t>З/пл. АУП и ВП, тыс.</t>
  </si>
  <si>
    <t>Прочие пост.изд,тыс.</t>
  </si>
  <si>
    <t>Проценты по кредиту</t>
  </si>
  <si>
    <t>Доля прибыли ин-ра</t>
  </si>
  <si>
    <t>Возврат кредита</t>
  </si>
  <si>
    <t>Выр-ка от ликвидации,тыс.</t>
  </si>
  <si>
    <t>…</t>
  </si>
  <si>
    <t>Ст-ть сырья, материалов и комплектующих в пересчете на ед. продукции, грн.</t>
  </si>
  <si>
    <t>Объем пр-ва преформ,млн</t>
  </si>
  <si>
    <t>Объем пр-ва бутылок,млн.</t>
  </si>
  <si>
    <t>Показатели</t>
  </si>
  <si>
    <t>T</t>
  </si>
  <si>
    <t>Нетто-</t>
  </si>
  <si>
    <t>Vt+</t>
  </si>
  <si>
    <t>%влож</t>
  </si>
  <si>
    <t>Vt-</t>
  </si>
  <si>
    <t>%прив</t>
  </si>
  <si>
    <t>платеж</t>
  </si>
  <si>
    <t>(h)</t>
  </si>
  <si>
    <t>(s)</t>
  </si>
  <si>
    <t>Метод запрета сальдирования</t>
  </si>
  <si>
    <t>Стоимость монтажных и пуско-наладочных работ, тыс.грн.</t>
  </si>
  <si>
    <t>Прочие постоянные издержки, тыс.грн.</t>
  </si>
  <si>
    <t>Выручка от ликвидации объекта, тыс.грн.</t>
  </si>
  <si>
    <t xml:space="preserve">VE = </t>
  </si>
  <si>
    <t>VE=</t>
  </si>
  <si>
    <t>Метод разрешения сальдирования</t>
  </si>
  <si>
    <t>Проценты, It</t>
  </si>
  <si>
    <t>It+Nt</t>
  </si>
  <si>
    <t>Vt</t>
  </si>
  <si>
    <t>(h) =35%</t>
  </si>
  <si>
    <t>(s) =40%</t>
  </si>
  <si>
    <t>x</t>
  </si>
  <si>
    <t>y</t>
  </si>
  <si>
    <t>1. Метод запрета сальдирования</t>
  </si>
  <si>
    <t>Функция преобразования</t>
  </si>
  <si>
    <t>для метода анализа полезной стоимости: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</si>
</sst>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2"/>
    </font>
    <font>
      <b/>
      <u val="single"/>
      <sz val="14"/>
      <name val="Arial Cyr"/>
      <family val="2"/>
    </font>
    <font>
      <sz val="12"/>
      <name val="Arial Cyr"/>
      <family val="2"/>
    </font>
    <font>
      <b/>
      <sz val="11.25"/>
      <name val="Arial Cyr"/>
      <family val="2"/>
    </font>
    <font>
      <sz val="11.25"/>
      <name val="Arial Cyr"/>
      <family val="2"/>
    </font>
    <font>
      <sz val="9.25"/>
      <name val="Arial Cyr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2" fillId="0" borderId="2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5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2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Для обоих 
критериев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Лист2!$B$76:$B$86</c:f>
              <c:numCache/>
            </c:numRef>
          </c:xVal>
          <c:yVal>
            <c:numRef>
              <c:f>Лист2!$C$76:$C$86</c:f>
              <c:numCache/>
            </c:numRef>
          </c:yVal>
          <c:smooth val="0"/>
        </c:ser>
        <c:axId val="47366910"/>
        <c:axId val="23649007"/>
      </c:scatterChart>
      <c:valAx>
        <c:axId val="4736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 Cyr"/>
                    <a:ea typeface="Arial Cyr"/>
                    <a:cs typeface="Arial Cyr"/>
                  </a:rPr>
                  <a:t>Стоимость, тыс.грн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649007"/>
        <c:crosses val="autoZero"/>
        <c:crossBetween val="midCat"/>
        <c:dispUnits/>
      </c:valAx>
      <c:valAx>
        <c:axId val="2364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 Cyr"/>
                    <a:ea typeface="Arial Cyr"/>
                    <a:cs typeface="Arial Cyr"/>
                  </a:rPr>
                  <a:t>Частичная полезность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3669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72</xdr:row>
      <xdr:rowOff>19050</xdr:rowOff>
    </xdr:from>
    <xdr:to>
      <xdr:col>9</xdr:col>
      <xdr:colOff>647700</xdr:colOff>
      <xdr:row>89</xdr:row>
      <xdr:rowOff>133350</xdr:rowOff>
    </xdr:to>
    <xdr:graphicFrame>
      <xdr:nvGraphicFramePr>
        <xdr:cNvPr id="1" name="Chart 1"/>
        <xdr:cNvGraphicFramePr/>
      </xdr:nvGraphicFramePr>
      <xdr:xfrm>
        <a:off x="2219325" y="12077700"/>
        <a:ext cx="44005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25">
      <selection activeCell="C47" sqref="C47"/>
    </sheetView>
  </sheetViews>
  <sheetFormatPr defaultColWidth="9.00390625" defaultRowHeight="12.75"/>
  <cols>
    <col min="1" max="1" width="4.00390625" style="0" customWidth="1"/>
    <col min="2" max="2" width="10.625" style="0" customWidth="1"/>
    <col min="3" max="3" width="14.125" style="0" customWidth="1"/>
    <col min="5" max="5" width="9.00390625" style="0" bestFit="1" customWidth="1"/>
    <col min="8" max="8" width="3.625" style="0" customWidth="1"/>
  </cols>
  <sheetData>
    <row r="1" ht="18">
      <c r="A1" s="1" t="s">
        <v>13</v>
      </c>
    </row>
    <row r="2" ht="13.5" thickBot="1"/>
    <row r="3" spans="1:9" ht="13.5" thickBot="1">
      <c r="A3" s="39" t="s">
        <v>11</v>
      </c>
      <c r="B3" s="41"/>
      <c r="C3" s="38" t="s">
        <v>34</v>
      </c>
      <c r="D3" s="35"/>
      <c r="E3" s="35"/>
      <c r="F3" s="35"/>
      <c r="G3" s="35"/>
      <c r="H3" s="9"/>
      <c r="I3" s="39" t="s">
        <v>15</v>
      </c>
    </row>
    <row r="4" spans="1:9" ht="12.75">
      <c r="A4" s="14">
        <v>1</v>
      </c>
      <c r="B4" s="17" t="s">
        <v>0</v>
      </c>
      <c r="C4" s="4"/>
      <c r="D4" s="4"/>
      <c r="E4" s="4"/>
      <c r="F4" s="4"/>
      <c r="G4" s="4"/>
      <c r="H4" s="18"/>
      <c r="I4" s="36">
        <v>110</v>
      </c>
    </row>
    <row r="5" spans="1:9" ht="12.75">
      <c r="A5" s="15">
        <v>2</v>
      </c>
      <c r="B5" s="19" t="s">
        <v>1</v>
      </c>
      <c r="C5" s="12"/>
      <c r="D5" s="12"/>
      <c r="E5" s="12"/>
      <c r="F5" s="12"/>
      <c r="G5" s="12"/>
      <c r="H5" s="20"/>
      <c r="I5" s="36">
        <v>0.51</v>
      </c>
    </row>
    <row r="6" spans="1:9" ht="12.75">
      <c r="A6" s="15">
        <v>3</v>
      </c>
      <c r="B6" s="19" t="s">
        <v>2</v>
      </c>
      <c r="C6" s="12"/>
      <c r="D6" s="12"/>
      <c r="E6" s="12"/>
      <c r="F6" s="12"/>
      <c r="G6" s="12"/>
      <c r="H6" s="20"/>
      <c r="I6" s="36">
        <v>1.605</v>
      </c>
    </row>
    <row r="7" spans="1:9" ht="12.75">
      <c r="A7" s="15">
        <v>4</v>
      </c>
      <c r="B7" s="19" t="s">
        <v>45</v>
      </c>
      <c r="C7" s="12"/>
      <c r="D7" s="12"/>
      <c r="E7" s="12"/>
      <c r="F7" s="12"/>
      <c r="G7" s="12"/>
      <c r="H7" s="20"/>
      <c r="I7" s="36">
        <v>107</v>
      </c>
    </row>
    <row r="8" spans="1:9" ht="12.75">
      <c r="A8" s="15">
        <v>5</v>
      </c>
      <c r="B8" s="19" t="s">
        <v>31</v>
      </c>
      <c r="C8" s="12"/>
      <c r="D8" s="12"/>
      <c r="E8" s="12"/>
      <c r="F8" s="12"/>
      <c r="G8" s="12"/>
      <c r="H8" s="20"/>
      <c r="I8" s="36">
        <v>0.32</v>
      </c>
    </row>
    <row r="9" spans="1:9" ht="12.75">
      <c r="A9" s="15">
        <v>6</v>
      </c>
      <c r="B9" s="19" t="s">
        <v>4</v>
      </c>
      <c r="C9" s="12"/>
      <c r="D9" s="12"/>
      <c r="E9" s="12"/>
      <c r="F9" s="12"/>
      <c r="G9" s="12"/>
      <c r="H9" s="20"/>
      <c r="I9" s="36">
        <v>0.027</v>
      </c>
    </row>
    <row r="10" spans="1:9" ht="12.75">
      <c r="A10" s="15">
        <v>7</v>
      </c>
      <c r="B10" s="19" t="s">
        <v>5</v>
      </c>
      <c r="C10" s="12"/>
      <c r="D10" s="12"/>
      <c r="E10" s="12"/>
      <c r="F10" s="12"/>
      <c r="G10" s="12"/>
      <c r="H10" s="20"/>
      <c r="I10" s="36">
        <v>0.12</v>
      </c>
    </row>
    <row r="11" spans="1:9" ht="12.75">
      <c r="A11" s="15">
        <v>8</v>
      </c>
      <c r="B11" s="19" t="s">
        <v>46</v>
      </c>
      <c r="C11" s="12"/>
      <c r="D11" s="12"/>
      <c r="E11" s="12"/>
      <c r="F11" s="12"/>
      <c r="G11" s="12"/>
      <c r="H11" s="20"/>
      <c r="I11" s="36">
        <v>535</v>
      </c>
    </row>
    <row r="12" spans="1:9" ht="12.75">
      <c r="A12" s="15">
        <v>9</v>
      </c>
      <c r="B12" s="19" t="s">
        <v>47</v>
      </c>
      <c r="C12" s="12"/>
      <c r="D12" s="12"/>
      <c r="E12" s="12"/>
      <c r="F12" s="12"/>
      <c r="G12" s="12"/>
      <c r="H12" s="20"/>
      <c r="I12" s="36">
        <v>160</v>
      </c>
    </row>
    <row r="13" spans="1:9" ht="12.75">
      <c r="A13" s="15">
        <v>10</v>
      </c>
      <c r="B13" s="19" t="s">
        <v>8</v>
      </c>
      <c r="C13" s="12"/>
      <c r="D13" s="12"/>
      <c r="E13" s="12"/>
      <c r="F13" s="12"/>
      <c r="G13" s="12"/>
      <c r="H13" s="20"/>
      <c r="I13" s="36">
        <v>65</v>
      </c>
    </row>
    <row r="14" spans="1:9" ht="12.75">
      <c r="A14" s="15">
        <v>11</v>
      </c>
      <c r="B14" s="19" t="s">
        <v>9</v>
      </c>
      <c r="C14" s="12"/>
      <c r="D14" s="12"/>
      <c r="E14" s="12"/>
      <c r="F14" s="12"/>
      <c r="G14" s="12"/>
      <c r="H14" s="20"/>
      <c r="I14" s="36">
        <v>35</v>
      </c>
    </row>
    <row r="15" spans="1:9" ht="13.5" thickBot="1">
      <c r="A15" s="16">
        <v>12</v>
      </c>
      <c r="B15" s="21" t="s">
        <v>10</v>
      </c>
      <c r="C15" s="7"/>
      <c r="D15" s="7"/>
      <c r="E15" s="7"/>
      <c r="F15" s="7"/>
      <c r="G15" s="7"/>
      <c r="H15" s="22"/>
      <c r="I15" s="37">
        <v>10</v>
      </c>
    </row>
    <row r="16" ht="13.5" thickBot="1"/>
    <row r="17" spans="1:9" ht="13.5" thickBot="1">
      <c r="A17" s="26" t="s">
        <v>11</v>
      </c>
      <c r="B17" s="40" t="s">
        <v>12</v>
      </c>
      <c r="C17" s="5"/>
      <c r="D17" s="3"/>
      <c r="E17" s="4"/>
      <c r="F17" s="27" t="s">
        <v>18</v>
      </c>
      <c r="G17" s="4"/>
      <c r="H17" s="4"/>
      <c r="I17" s="5"/>
    </row>
    <row r="18" spans="1:9" ht="13.5" thickBot="1">
      <c r="A18" s="2"/>
      <c r="B18" s="6"/>
      <c r="C18" s="8"/>
      <c r="D18" s="10">
        <v>1</v>
      </c>
      <c r="E18" s="32">
        <v>2</v>
      </c>
      <c r="F18" s="32">
        <v>3</v>
      </c>
      <c r="G18" s="33">
        <v>4</v>
      </c>
      <c r="H18" s="32" t="s">
        <v>30</v>
      </c>
      <c r="I18" s="9">
        <v>10</v>
      </c>
    </row>
    <row r="19" spans="1:9" ht="12.75">
      <c r="A19" s="14">
        <v>1</v>
      </c>
      <c r="B19" s="17" t="s">
        <v>19</v>
      </c>
      <c r="C19" s="18"/>
      <c r="D19" s="29"/>
      <c r="E19" s="29">
        <v>60</v>
      </c>
      <c r="F19" s="29">
        <v>100</v>
      </c>
      <c r="G19" s="29">
        <v>110</v>
      </c>
      <c r="H19" s="30"/>
      <c r="I19" s="13">
        <v>110</v>
      </c>
    </row>
    <row r="20" spans="1:9" ht="12.75">
      <c r="A20" s="15">
        <v>2</v>
      </c>
      <c r="B20" s="19" t="s">
        <v>20</v>
      </c>
      <c r="C20" s="20"/>
      <c r="D20" s="30">
        <v>250</v>
      </c>
      <c r="E20" s="30">
        <v>250</v>
      </c>
      <c r="F20" s="30"/>
      <c r="G20" s="30"/>
      <c r="H20" s="30"/>
      <c r="I20" s="13"/>
    </row>
    <row r="21" spans="1:9" ht="12.75">
      <c r="A21" s="15">
        <v>3</v>
      </c>
      <c r="B21" s="19" t="s">
        <v>21</v>
      </c>
      <c r="C21" s="20"/>
      <c r="D21" s="30">
        <v>1200</v>
      </c>
      <c r="E21" s="30"/>
      <c r="F21" s="30"/>
      <c r="G21" s="30"/>
      <c r="H21" s="30"/>
      <c r="I21" s="13"/>
    </row>
    <row r="22" spans="1:9" ht="12.75">
      <c r="A22" s="15">
        <v>4</v>
      </c>
      <c r="B22" s="19" t="s">
        <v>23</v>
      </c>
      <c r="C22" s="20"/>
      <c r="D22" s="30">
        <v>802.5</v>
      </c>
      <c r="E22" s="30">
        <v>802.5</v>
      </c>
      <c r="F22" s="30"/>
      <c r="G22" s="30"/>
      <c r="H22" s="30"/>
      <c r="I22" s="13"/>
    </row>
    <row r="23" spans="1:9" ht="12.75">
      <c r="A23" s="15">
        <v>5</v>
      </c>
      <c r="B23" s="19" t="s">
        <v>22</v>
      </c>
      <c r="C23" s="20"/>
      <c r="D23" s="30">
        <v>43</v>
      </c>
      <c r="E23" s="30">
        <v>64</v>
      </c>
      <c r="F23" s="30"/>
      <c r="G23" s="30"/>
      <c r="H23" s="30"/>
      <c r="I23" s="13"/>
    </row>
    <row r="24" spans="1:9" ht="12.75">
      <c r="A24" s="15">
        <v>6</v>
      </c>
      <c r="B24" s="19" t="s">
        <v>24</v>
      </c>
      <c r="C24" s="20"/>
      <c r="D24" s="30">
        <v>107</v>
      </c>
      <c r="E24" s="30">
        <v>160</v>
      </c>
      <c r="F24" s="30">
        <v>267</v>
      </c>
      <c r="G24" s="30">
        <v>267</v>
      </c>
      <c r="H24" s="30"/>
      <c r="I24" s="13">
        <v>267</v>
      </c>
    </row>
    <row r="25" spans="1:9" ht="12.75">
      <c r="A25" s="15">
        <v>7</v>
      </c>
      <c r="B25" s="19" t="s">
        <v>25</v>
      </c>
      <c r="C25" s="20"/>
      <c r="D25" s="30">
        <v>107</v>
      </c>
      <c r="E25" s="30">
        <v>215</v>
      </c>
      <c r="F25" s="30">
        <v>535</v>
      </c>
      <c r="G25" s="30">
        <v>535</v>
      </c>
      <c r="H25" s="30"/>
      <c r="I25" s="13">
        <v>535</v>
      </c>
    </row>
    <row r="26" spans="1:9" ht="12.75">
      <c r="A26" s="15">
        <v>8</v>
      </c>
      <c r="B26" s="19" t="s">
        <v>26</v>
      </c>
      <c r="C26" s="20"/>
      <c r="D26" s="30"/>
      <c r="E26" s="30"/>
      <c r="F26" s="30"/>
      <c r="G26" s="30"/>
      <c r="H26" s="30"/>
      <c r="I26" s="13"/>
    </row>
    <row r="27" spans="1:9" ht="12.75">
      <c r="A27" s="15">
        <v>9</v>
      </c>
      <c r="B27" s="19" t="s">
        <v>27</v>
      </c>
      <c r="C27" s="20"/>
      <c r="D27" s="30">
        <f>(D19*I5*1000+D20+D21-D22-D23-D24-D25-(I8+I9+I10)*D19*1000+D29)*I13/100</f>
        <v>253.825</v>
      </c>
      <c r="E27" s="30">
        <f>(E19*I5*1000+E20+E21-E22-E23-E24-E25-(I8+I9+I10)*E19*1000+E29)*I13/100</f>
        <v>1032.5249999999976</v>
      </c>
      <c r="F27" s="30">
        <f>(F19*I5*1000+F20+F21-F22-F23-F24-F25-(I8+I9+I10)*F19*1000+F29)*I13/100</f>
        <v>2273.7</v>
      </c>
      <c r="G27" s="30">
        <f>(G19*I5*1000+G20+G21-G22-G23-G24-G25-(I8+I9+I10)*1000*G19+G29)*I13/100</f>
        <v>2553.2</v>
      </c>
      <c r="H27" s="30"/>
      <c r="I27" s="30">
        <f>(I19*I5*1000+I20+I21-I22-I23-I24-I25-(I8+I9+I10)*I19*1000+I29)*I13/100</f>
        <v>2657.1999999999953</v>
      </c>
    </row>
    <row r="28" spans="1:9" ht="12.75">
      <c r="A28" s="15">
        <v>10</v>
      </c>
      <c r="B28" s="19" t="s">
        <v>28</v>
      </c>
      <c r="C28" s="20"/>
      <c r="D28" s="30">
        <f>(D19*I5*1000+D20+D21-D22-D23-D24-D25-(I8+I9+I10)*D19+D29)-D27</f>
        <v>136.675</v>
      </c>
      <c r="E28" s="30">
        <f>E19*I5*1000+E20+E21-E22-E23-E24-E25-(I8+I9+I10)*E19*1000-E27+E29</f>
        <v>555.9749999999988</v>
      </c>
      <c r="F28" s="30">
        <f>D21-D28-E28</f>
        <v>507.3500000000013</v>
      </c>
      <c r="G28" s="30">
        <f>D21-D28-E28-F28</f>
        <v>0</v>
      </c>
      <c r="H28" s="30"/>
      <c r="I28" s="13"/>
    </row>
    <row r="29" spans="1:9" ht="13.5" thickBot="1">
      <c r="A29" s="16">
        <v>11</v>
      </c>
      <c r="B29" s="21" t="s">
        <v>29</v>
      </c>
      <c r="C29" s="22"/>
      <c r="D29" s="31"/>
      <c r="E29" s="31"/>
      <c r="F29" s="31"/>
      <c r="G29" s="31"/>
      <c r="H29" s="31"/>
      <c r="I29" s="8">
        <v>160</v>
      </c>
    </row>
    <row r="31" ht="18">
      <c r="B31" s="59" t="s">
        <v>44</v>
      </c>
    </row>
    <row r="32" ht="13.5" thickBot="1"/>
    <row r="33" spans="1:7" ht="12.75">
      <c r="A33" s="50" t="s">
        <v>35</v>
      </c>
      <c r="B33" s="60" t="s">
        <v>36</v>
      </c>
      <c r="D33" s="44" t="s">
        <v>37</v>
      </c>
      <c r="E33" s="44" t="s">
        <v>38</v>
      </c>
      <c r="F33" s="44" t="s">
        <v>39</v>
      </c>
      <c r="G33" s="45" t="s">
        <v>40</v>
      </c>
    </row>
    <row r="34" spans="1:7" ht="13.5" thickBot="1">
      <c r="A34" s="51"/>
      <c r="B34" s="68" t="s">
        <v>41</v>
      </c>
      <c r="D34" s="48"/>
      <c r="E34" s="48" t="s">
        <v>54</v>
      </c>
      <c r="F34" s="48"/>
      <c r="G34" s="47" t="s">
        <v>55</v>
      </c>
    </row>
    <row r="35" spans="1:7" ht="12.75">
      <c r="A35" s="42">
        <v>1</v>
      </c>
      <c r="B35" s="62">
        <f>D19*I5*1000+D20+D21-D22-D23-D24-D25-(I8+I9+I10)*D19*1000-D27-D28+D29</f>
        <v>0</v>
      </c>
      <c r="D35" s="14">
        <f aca="true" t="shared" si="0" ref="D35:D44">B35*E35</f>
        <v>0</v>
      </c>
      <c r="E35" s="18">
        <f>(1+I14/100)^(10-A35)</f>
        <v>14.893745087865243</v>
      </c>
      <c r="F35" s="4"/>
      <c r="G35" s="55"/>
    </row>
    <row r="36" spans="1:7" ht="12.75">
      <c r="A36" s="52">
        <v>2</v>
      </c>
      <c r="B36" s="53">
        <f>E19*I5*1000+E20+E21-E22-E23-E24-E25-(I8+I9+I10)*E19*1000-E27-E28+E29</f>
        <v>0</v>
      </c>
      <c r="D36" s="15">
        <f t="shared" si="0"/>
        <v>0</v>
      </c>
      <c r="E36" s="20">
        <f>(1+I14/100)^(10-A36)</f>
        <v>11.032403768789068</v>
      </c>
      <c r="F36" s="56"/>
      <c r="G36" s="57"/>
    </row>
    <row r="37" spans="1:7" ht="12.75">
      <c r="A37" s="52">
        <v>3</v>
      </c>
      <c r="B37" s="53">
        <f>F19*I5*1000+F20+F21-F22-F23-F24-F25-(I8+I9+I10)*F19*1000-F27-F28+F29</f>
        <v>716.9499999999989</v>
      </c>
      <c r="D37" s="15">
        <f t="shared" si="0"/>
        <v>5859.02361632097</v>
      </c>
      <c r="E37" s="20">
        <f>(1+I14/100)^(10-A37)</f>
        <v>8.172150939843753</v>
      </c>
      <c r="F37" s="56"/>
      <c r="G37" s="57"/>
    </row>
    <row r="38" spans="1:7" ht="12.75">
      <c r="A38" s="52">
        <v>4</v>
      </c>
      <c r="B38" s="53">
        <f>G19*I5*1000+G20+G21-G22-G23-G24-G25-(I8+I9+I10)*G19*1000-G27-G28+G29</f>
        <v>1374.799999999993</v>
      </c>
      <c r="D38" s="15">
        <f t="shared" si="0"/>
        <v>8322.27637933121</v>
      </c>
      <c r="E38" s="20">
        <f>(1+I14/100)^(10-A38)</f>
        <v>6.053445140625002</v>
      </c>
      <c r="F38" s="56"/>
      <c r="G38" s="57"/>
    </row>
    <row r="39" spans="1:7" ht="12.75">
      <c r="A39" s="52">
        <v>5</v>
      </c>
      <c r="B39" s="53">
        <f>B38</f>
        <v>1374.799999999993</v>
      </c>
      <c r="D39" s="63">
        <f t="shared" si="0"/>
        <v>6164.6491698749705</v>
      </c>
      <c r="E39" s="30">
        <f>(1+I14/100)^(10-A39)</f>
        <v>4.484033437500002</v>
      </c>
      <c r="F39" s="56"/>
      <c r="G39" s="57"/>
    </row>
    <row r="40" spans="1:7" ht="12.75">
      <c r="A40" s="52">
        <v>6</v>
      </c>
      <c r="B40" s="53">
        <f>B38</f>
        <v>1374.799999999993</v>
      </c>
      <c r="D40" s="64">
        <f t="shared" si="0"/>
        <v>4566.406792499978</v>
      </c>
      <c r="E40" s="30">
        <f>(1+I14/100)^(10-A40)</f>
        <v>3.321506250000001</v>
      </c>
      <c r="F40" s="12"/>
      <c r="G40" s="57"/>
    </row>
    <row r="41" spans="1:7" ht="12.75">
      <c r="A41" s="52">
        <v>7</v>
      </c>
      <c r="B41" s="53">
        <f>B38</f>
        <v>1374.799999999993</v>
      </c>
      <c r="D41" s="64">
        <f t="shared" si="0"/>
        <v>3382.523549999983</v>
      </c>
      <c r="E41" s="30">
        <f>(1+I14/100)^(10-A41)</f>
        <v>2.4603750000000004</v>
      </c>
      <c r="F41" s="12"/>
      <c r="G41" s="57"/>
    </row>
    <row r="42" spans="1:7" ht="12.75">
      <c r="A42" s="52">
        <v>8</v>
      </c>
      <c r="B42" s="53">
        <f>B38</f>
        <v>1374.799999999993</v>
      </c>
      <c r="D42" s="64">
        <f t="shared" si="0"/>
        <v>2505.5729999999876</v>
      </c>
      <c r="E42" s="30">
        <f>(1+I14/100)^(10-A42)</f>
        <v>1.8225000000000002</v>
      </c>
      <c r="F42" s="12"/>
      <c r="G42" s="57"/>
    </row>
    <row r="43" spans="1:7" ht="12.75">
      <c r="A43" s="52">
        <v>9</v>
      </c>
      <c r="B43" s="53">
        <f>B38</f>
        <v>1374.799999999993</v>
      </c>
      <c r="D43" s="64">
        <f t="shared" si="0"/>
        <v>1855.9799999999905</v>
      </c>
      <c r="E43" s="30">
        <f>(1+I14/100)^(10-A43)</f>
        <v>1.35</v>
      </c>
      <c r="F43" s="12"/>
      <c r="G43" s="57"/>
    </row>
    <row r="44" spans="1:7" ht="13.5" thickBot="1">
      <c r="A44" s="54">
        <v>10</v>
      </c>
      <c r="B44" s="47">
        <f>I19*I5*1000+I20+I21-I22-I23-I24-I25-(I8+I9+I10)*I19*1000-I27-I28+I29</f>
        <v>1430.7999999999975</v>
      </c>
      <c r="D44" s="46">
        <f t="shared" si="0"/>
        <v>1430.7999999999975</v>
      </c>
      <c r="E44" s="31">
        <f>(1+I14/100)^(10-A44)</f>
        <v>1</v>
      </c>
      <c r="F44" s="7"/>
      <c r="G44" s="58"/>
    </row>
    <row r="45" spans="4:6" ht="12.75">
      <c r="D45">
        <f>SUM(D35:D44)</f>
        <v>34087.23250802708</v>
      </c>
      <c r="F45">
        <f>SUM(F35:F44)</f>
        <v>0</v>
      </c>
    </row>
    <row r="47" spans="2:3" ht="12.75">
      <c r="B47" s="65" t="s">
        <v>48</v>
      </c>
      <c r="C47" s="66">
        <f>D45+F45</f>
        <v>34087.23250802708</v>
      </c>
    </row>
    <row r="55" ht="18">
      <c r="B55" s="59" t="s">
        <v>50</v>
      </c>
    </row>
    <row r="56" ht="13.5" thickBot="1"/>
    <row r="57" spans="1:5" ht="12.75">
      <c r="A57" s="50" t="s">
        <v>35</v>
      </c>
      <c r="B57" s="69" t="s">
        <v>36</v>
      </c>
      <c r="C57" s="49" t="s">
        <v>51</v>
      </c>
      <c r="D57" s="49" t="s">
        <v>52</v>
      </c>
      <c r="E57" s="43" t="s">
        <v>53</v>
      </c>
    </row>
    <row r="58" spans="1:5" ht="13.5" thickBot="1">
      <c r="A58" s="51"/>
      <c r="B58" s="70" t="s">
        <v>41</v>
      </c>
      <c r="C58" s="74"/>
      <c r="D58" s="74"/>
      <c r="E58" s="71"/>
    </row>
    <row r="59" spans="1:5" ht="12.75">
      <c r="A59" s="42">
        <v>1</v>
      </c>
      <c r="B59" s="72">
        <f aca="true" t="shared" si="1" ref="B59:B68">B35</f>
        <v>0</v>
      </c>
      <c r="C59" s="29">
        <v>0</v>
      </c>
      <c r="D59" s="29">
        <f aca="true" t="shared" si="2" ref="D59:D68">B59+C59</f>
        <v>0</v>
      </c>
      <c r="E59" s="5">
        <f>D59</f>
        <v>0</v>
      </c>
    </row>
    <row r="60" spans="1:5" ht="12.75">
      <c r="A60" s="52">
        <v>2</v>
      </c>
      <c r="B60" s="56">
        <f t="shared" si="1"/>
        <v>0</v>
      </c>
      <c r="C60" s="30">
        <f>B59*I14/100</f>
        <v>0</v>
      </c>
      <c r="D60" s="30">
        <f t="shared" si="2"/>
        <v>0</v>
      </c>
      <c r="E60" s="13">
        <f>D59+D60</f>
        <v>0</v>
      </c>
    </row>
    <row r="61" spans="1:5" ht="12.75">
      <c r="A61" s="52">
        <v>3</v>
      </c>
      <c r="B61" s="56">
        <f t="shared" si="1"/>
        <v>716.9499999999989</v>
      </c>
      <c r="C61" s="30">
        <f>B60*I14/100</f>
        <v>0</v>
      </c>
      <c r="D61" s="30">
        <f t="shared" si="2"/>
        <v>716.9499999999989</v>
      </c>
      <c r="E61" s="13">
        <f>D59+D60+D61</f>
        <v>716.9499999999989</v>
      </c>
    </row>
    <row r="62" spans="1:5" ht="12.75">
      <c r="A62" s="52">
        <v>4</v>
      </c>
      <c r="B62" s="56">
        <f t="shared" si="1"/>
        <v>1374.799999999993</v>
      </c>
      <c r="C62" s="30">
        <f>B61*I14/100</f>
        <v>250.93249999999964</v>
      </c>
      <c r="D62" s="30">
        <f t="shared" si="2"/>
        <v>1625.7324999999926</v>
      </c>
      <c r="E62" s="13">
        <f>D59+D60+D61+D62</f>
        <v>2342.6824999999917</v>
      </c>
    </row>
    <row r="63" spans="1:5" ht="12.75">
      <c r="A63" s="52">
        <v>5</v>
      </c>
      <c r="B63" s="56">
        <f t="shared" si="1"/>
        <v>1374.799999999993</v>
      </c>
      <c r="C63" s="30">
        <f>B62*I14/100</f>
        <v>481.1799999999975</v>
      </c>
      <c r="D63" s="30">
        <f t="shared" si="2"/>
        <v>1855.9799999999905</v>
      </c>
      <c r="E63" s="13">
        <f>D59+D60+D61+D62+D63</f>
        <v>4198.662499999982</v>
      </c>
    </row>
    <row r="64" spans="1:5" ht="12.75">
      <c r="A64" s="52">
        <v>6</v>
      </c>
      <c r="B64" s="56">
        <f t="shared" si="1"/>
        <v>1374.799999999993</v>
      </c>
      <c r="C64" s="30">
        <f>B63*I14/100</f>
        <v>481.1799999999975</v>
      </c>
      <c r="D64" s="30">
        <f t="shared" si="2"/>
        <v>1855.9799999999905</v>
      </c>
      <c r="E64" s="13">
        <f>D59+D60+D61+D62+D63+D64</f>
        <v>6054.642499999973</v>
      </c>
    </row>
    <row r="65" spans="1:5" ht="12.75">
      <c r="A65" s="52">
        <v>7</v>
      </c>
      <c r="B65" s="56">
        <f t="shared" si="1"/>
        <v>1374.799999999993</v>
      </c>
      <c r="C65" s="30">
        <f>B64*I14/100</f>
        <v>481.1799999999975</v>
      </c>
      <c r="D65" s="30">
        <f t="shared" si="2"/>
        <v>1855.9799999999905</v>
      </c>
      <c r="E65" s="13">
        <f>D59+D60+D61+D62+D63+D64+D65</f>
        <v>7910.622499999963</v>
      </c>
    </row>
    <row r="66" spans="1:5" ht="12.75">
      <c r="A66" s="52">
        <v>8</v>
      </c>
      <c r="B66" s="56">
        <f t="shared" si="1"/>
        <v>1374.799999999993</v>
      </c>
      <c r="C66" s="30">
        <f>B65*I14/100</f>
        <v>481.1799999999975</v>
      </c>
      <c r="D66" s="30">
        <f t="shared" si="2"/>
        <v>1855.9799999999905</v>
      </c>
      <c r="E66" s="13">
        <f>D59+D60+D61+D62+D63+D64+D65+D66</f>
        <v>9766.602499999954</v>
      </c>
    </row>
    <row r="67" spans="1:5" ht="12.75">
      <c r="A67" s="52">
        <v>9</v>
      </c>
      <c r="B67" s="56">
        <f t="shared" si="1"/>
        <v>1374.799999999993</v>
      </c>
      <c r="C67" s="30">
        <f>B66*I14/100</f>
        <v>481.1799999999975</v>
      </c>
      <c r="D67" s="30">
        <f t="shared" si="2"/>
        <v>1855.9799999999905</v>
      </c>
      <c r="E67" s="13">
        <f>D59+D60+D61+D62+D63+D64+D65+D66+D67</f>
        <v>11622.582499999944</v>
      </c>
    </row>
    <row r="68" spans="1:5" ht="13.5" thickBot="1">
      <c r="A68" s="54">
        <v>10</v>
      </c>
      <c r="B68" s="73">
        <f t="shared" si="1"/>
        <v>1430.7999999999975</v>
      </c>
      <c r="C68" s="31">
        <f>B67*I14/100</f>
        <v>481.1799999999975</v>
      </c>
      <c r="D68" s="31">
        <f t="shared" si="2"/>
        <v>1911.979999999995</v>
      </c>
      <c r="E68" s="71">
        <f>E67+D68</f>
        <v>13534.562499999938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67">
      <selection activeCell="D1" sqref="D1"/>
    </sheetView>
  </sheetViews>
  <sheetFormatPr defaultColWidth="9.00390625" defaultRowHeight="12.75"/>
  <cols>
    <col min="1" max="1" width="3.25390625" style="0" customWidth="1"/>
    <col min="2" max="2" width="11.75390625" style="0" customWidth="1"/>
    <col min="3" max="3" width="12.25390625" style="0" customWidth="1"/>
    <col min="8" max="8" width="5.00390625" style="0" customWidth="1"/>
    <col min="9" max="9" width="10.125" style="0" customWidth="1"/>
  </cols>
  <sheetData>
    <row r="1" ht="18.75" thickBot="1">
      <c r="A1" s="1" t="s">
        <v>14</v>
      </c>
    </row>
    <row r="2" spans="1:10" ht="13.5" thickBot="1">
      <c r="A2" s="26" t="s">
        <v>11</v>
      </c>
      <c r="B2" s="3"/>
      <c r="C2" s="27" t="s">
        <v>34</v>
      </c>
      <c r="D2" s="4"/>
      <c r="E2" s="4"/>
      <c r="F2" s="4"/>
      <c r="G2" s="4"/>
      <c r="H2" s="4"/>
      <c r="I2" s="28" t="s">
        <v>15</v>
      </c>
      <c r="J2" s="9"/>
    </row>
    <row r="3" spans="1:10" ht="13.5" thickBot="1">
      <c r="A3" s="2"/>
      <c r="B3" s="6"/>
      <c r="C3" s="7"/>
      <c r="D3" s="7"/>
      <c r="E3" s="7"/>
      <c r="F3" s="7"/>
      <c r="G3" s="7"/>
      <c r="H3" s="7"/>
      <c r="I3" s="10" t="s">
        <v>16</v>
      </c>
      <c r="J3" s="11" t="s">
        <v>17</v>
      </c>
    </row>
    <row r="4" spans="1:10" ht="12.75">
      <c r="A4" s="14">
        <v>1</v>
      </c>
      <c r="B4" s="17" t="s">
        <v>0</v>
      </c>
      <c r="C4" s="4"/>
      <c r="D4" s="4"/>
      <c r="E4" s="4"/>
      <c r="F4" s="4"/>
      <c r="G4" s="4"/>
      <c r="H4" s="18"/>
      <c r="I4" s="23">
        <v>75</v>
      </c>
      <c r="J4" s="5">
        <v>32</v>
      </c>
    </row>
    <row r="5" spans="1:10" ht="12.75">
      <c r="A5" s="15">
        <v>2</v>
      </c>
      <c r="B5" s="19" t="s">
        <v>1</v>
      </c>
      <c r="C5" s="12"/>
      <c r="D5" s="12"/>
      <c r="E5" s="12"/>
      <c r="F5" s="12"/>
      <c r="G5" s="12"/>
      <c r="H5" s="20"/>
      <c r="I5" s="24">
        <v>0.51</v>
      </c>
      <c r="J5" s="13">
        <v>0.765</v>
      </c>
    </row>
    <row r="6" spans="1:10" ht="12.75">
      <c r="A6" s="15">
        <v>3</v>
      </c>
      <c r="B6" s="19" t="s">
        <v>2</v>
      </c>
      <c r="C6" s="12"/>
      <c r="D6" s="12"/>
      <c r="E6" s="12"/>
      <c r="F6" s="12"/>
      <c r="G6" s="12"/>
      <c r="H6" s="20"/>
      <c r="I6" s="24">
        <v>1.5</v>
      </c>
      <c r="J6" s="13"/>
    </row>
    <row r="7" spans="1:10" ht="12.75">
      <c r="A7" s="15">
        <v>4</v>
      </c>
      <c r="B7" s="19" t="s">
        <v>3</v>
      </c>
      <c r="C7" s="12"/>
      <c r="D7" s="12"/>
      <c r="E7" s="12"/>
      <c r="F7" s="12"/>
      <c r="G7" s="12"/>
      <c r="H7" s="20"/>
      <c r="I7" s="24">
        <v>214</v>
      </c>
      <c r="J7" s="13"/>
    </row>
    <row r="8" spans="1:10" ht="12.75">
      <c r="A8" s="15">
        <v>5</v>
      </c>
      <c r="B8" s="19" t="s">
        <v>31</v>
      </c>
      <c r="C8" s="12"/>
      <c r="D8" s="12"/>
      <c r="E8" s="12"/>
      <c r="F8" s="12"/>
      <c r="G8" s="12"/>
      <c r="H8" s="20"/>
      <c r="I8" s="24">
        <v>0.32</v>
      </c>
      <c r="J8" s="13">
        <v>0.37</v>
      </c>
    </row>
    <row r="9" spans="1:10" ht="12.75">
      <c r="A9" s="15">
        <v>6</v>
      </c>
      <c r="B9" s="19" t="s">
        <v>4</v>
      </c>
      <c r="C9" s="12"/>
      <c r="D9" s="12"/>
      <c r="E9" s="12"/>
      <c r="F9" s="12"/>
      <c r="G9" s="12"/>
      <c r="H9" s="20"/>
      <c r="I9" s="24">
        <v>0.027</v>
      </c>
      <c r="J9" s="13">
        <v>0.037</v>
      </c>
    </row>
    <row r="10" spans="1:10" ht="12.75">
      <c r="A10" s="15">
        <v>7</v>
      </c>
      <c r="B10" s="19" t="s">
        <v>5</v>
      </c>
      <c r="C10" s="12"/>
      <c r="D10" s="12"/>
      <c r="E10" s="12"/>
      <c r="F10" s="12"/>
      <c r="G10" s="12"/>
      <c r="H10" s="20"/>
      <c r="I10" s="24">
        <v>0.12</v>
      </c>
      <c r="J10" s="13">
        <v>0.16</v>
      </c>
    </row>
    <row r="11" spans="1:10" ht="12.75">
      <c r="A11" s="15">
        <v>8</v>
      </c>
      <c r="B11" s="19" t="s">
        <v>6</v>
      </c>
      <c r="C11" s="12"/>
      <c r="D11" s="12"/>
      <c r="E11" s="12"/>
      <c r="F11" s="12"/>
      <c r="G11" s="12"/>
      <c r="H11" s="20"/>
      <c r="I11" s="24">
        <v>640</v>
      </c>
      <c r="J11" s="13"/>
    </row>
    <row r="12" spans="1:10" ht="12.75">
      <c r="A12" s="15">
        <v>9</v>
      </c>
      <c r="B12" s="19" t="s">
        <v>7</v>
      </c>
      <c r="C12" s="12"/>
      <c r="D12" s="12"/>
      <c r="E12" s="12"/>
      <c r="F12" s="12"/>
      <c r="G12" s="12"/>
      <c r="H12" s="20"/>
      <c r="I12" s="24">
        <v>130</v>
      </c>
      <c r="J12" s="13"/>
    </row>
    <row r="13" spans="1:10" ht="12.75">
      <c r="A13" s="15">
        <v>10</v>
      </c>
      <c r="B13" s="19" t="s">
        <v>8</v>
      </c>
      <c r="C13" s="12"/>
      <c r="D13" s="12"/>
      <c r="E13" s="12"/>
      <c r="F13" s="12"/>
      <c r="G13" s="12"/>
      <c r="H13" s="20"/>
      <c r="I13" s="24">
        <v>65</v>
      </c>
      <c r="J13" s="13"/>
    </row>
    <row r="14" spans="1:10" ht="12.75">
      <c r="A14" s="15">
        <v>11</v>
      </c>
      <c r="B14" s="19" t="s">
        <v>9</v>
      </c>
      <c r="C14" s="12"/>
      <c r="D14" s="12"/>
      <c r="E14" s="12"/>
      <c r="F14" s="12"/>
      <c r="G14" s="12"/>
      <c r="H14" s="20"/>
      <c r="I14" s="24">
        <v>35</v>
      </c>
      <c r="J14" s="13"/>
    </row>
    <row r="15" spans="1:10" ht="13.5" thickBot="1">
      <c r="A15" s="16">
        <v>12</v>
      </c>
      <c r="B15" s="21" t="s">
        <v>10</v>
      </c>
      <c r="C15" s="7"/>
      <c r="D15" s="7"/>
      <c r="E15" s="7"/>
      <c r="F15" s="7"/>
      <c r="G15" s="7"/>
      <c r="H15" s="22"/>
      <c r="I15" s="25">
        <v>10</v>
      </c>
      <c r="J15" s="8"/>
    </row>
    <row r="17" ht="13.5" thickBot="1"/>
    <row r="18" spans="1:9" ht="13.5" thickBot="1">
      <c r="A18" s="26" t="s">
        <v>11</v>
      </c>
      <c r="B18" s="34" t="s">
        <v>12</v>
      </c>
      <c r="C18" s="5"/>
      <c r="D18" s="3"/>
      <c r="E18" s="4"/>
      <c r="F18" s="27" t="s">
        <v>18</v>
      </c>
      <c r="G18" s="4"/>
      <c r="H18" s="4"/>
      <c r="I18" s="5"/>
    </row>
    <row r="19" spans="1:9" ht="13.5" thickBot="1">
      <c r="A19" s="2"/>
      <c r="B19" s="6"/>
      <c r="C19" s="8"/>
      <c r="D19" s="10">
        <v>1</v>
      </c>
      <c r="E19" s="32">
        <v>2</v>
      </c>
      <c r="F19" s="32">
        <v>3</v>
      </c>
      <c r="G19" s="33">
        <v>4</v>
      </c>
      <c r="H19" s="32" t="s">
        <v>30</v>
      </c>
      <c r="I19" s="9">
        <v>10</v>
      </c>
    </row>
    <row r="20" spans="1:9" ht="12.75">
      <c r="A20" s="14">
        <v>1</v>
      </c>
      <c r="B20" s="17" t="s">
        <v>32</v>
      </c>
      <c r="C20" s="18"/>
      <c r="D20" s="29"/>
      <c r="E20" s="29"/>
      <c r="F20" s="29">
        <v>52</v>
      </c>
      <c r="G20" s="29">
        <v>75</v>
      </c>
      <c r="H20" s="29"/>
      <c r="I20" s="29">
        <v>75</v>
      </c>
    </row>
    <row r="21" spans="1:9" ht="12.75">
      <c r="A21" s="15">
        <v>2</v>
      </c>
      <c r="B21" s="19" t="s">
        <v>33</v>
      </c>
      <c r="C21" s="20"/>
      <c r="D21" s="30"/>
      <c r="E21" s="30"/>
      <c r="F21" s="30"/>
      <c r="G21" s="30">
        <v>32</v>
      </c>
      <c r="H21" s="30"/>
      <c r="I21" s="30">
        <v>32</v>
      </c>
    </row>
    <row r="22" spans="1:9" ht="12.75">
      <c r="A22" s="15">
        <v>3</v>
      </c>
      <c r="B22" s="19" t="s">
        <v>20</v>
      </c>
      <c r="C22" s="20"/>
      <c r="D22" s="30">
        <v>225</v>
      </c>
      <c r="E22" s="30">
        <v>225</v>
      </c>
      <c r="F22" s="30"/>
      <c r="G22" s="30"/>
      <c r="H22" s="30"/>
      <c r="I22" s="30"/>
    </row>
    <row r="23" spans="1:9" ht="12.75">
      <c r="A23" s="15">
        <v>4</v>
      </c>
      <c r="B23" s="19" t="s">
        <v>21</v>
      </c>
      <c r="C23" s="20"/>
      <c r="D23" s="30">
        <v>1050</v>
      </c>
      <c r="E23" s="30"/>
      <c r="F23" s="30"/>
      <c r="G23" s="30"/>
      <c r="H23" s="30"/>
      <c r="I23" s="30"/>
    </row>
    <row r="24" spans="1:9" ht="12.75">
      <c r="A24" s="15">
        <v>5</v>
      </c>
      <c r="B24" s="19" t="s">
        <v>23</v>
      </c>
      <c r="C24" s="20"/>
      <c r="D24" s="30">
        <v>750</v>
      </c>
      <c r="E24" s="30">
        <v>750</v>
      </c>
      <c r="F24" s="30"/>
      <c r="G24" s="30"/>
      <c r="H24" s="30"/>
      <c r="I24" s="30"/>
    </row>
    <row r="25" spans="1:9" ht="12.75">
      <c r="A25" s="15">
        <v>6</v>
      </c>
      <c r="B25" s="19" t="s">
        <v>22</v>
      </c>
      <c r="C25" s="20"/>
      <c r="D25" s="30">
        <v>64</v>
      </c>
      <c r="E25" s="30">
        <v>70</v>
      </c>
      <c r="F25" s="30">
        <v>80</v>
      </c>
      <c r="G25" s="30"/>
      <c r="H25" s="30"/>
      <c r="I25" s="30"/>
    </row>
    <row r="26" spans="1:9" ht="12.75">
      <c r="A26" s="15">
        <v>7</v>
      </c>
      <c r="B26" s="19" t="s">
        <v>24</v>
      </c>
      <c r="C26" s="20"/>
      <c r="D26" s="30">
        <v>107</v>
      </c>
      <c r="E26" s="30">
        <v>107</v>
      </c>
      <c r="F26" s="30">
        <v>215</v>
      </c>
      <c r="G26" s="30">
        <v>320</v>
      </c>
      <c r="H26" s="30"/>
      <c r="I26" s="30">
        <v>320</v>
      </c>
    </row>
    <row r="27" spans="1:9" ht="12.75">
      <c r="A27" s="15">
        <v>8</v>
      </c>
      <c r="B27" s="19" t="s">
        <v>25</v>
      </c>
      <c r="C27" s="20"/>
      <c r="D27" s="30">
        <v>53</v>
      </c>
      <c r="E27" s="30">
        <v>107</v>
      </c>
      <c r="F27" s="30">
        <v>430</v>
      </c>
      <c r="G27" s="30">
        <v>640</v>
      </c>
      <c r="H27" s="30"/>
      <c r="I27" s="30">
        <v>640</v>
      </c>
    </row>
    <row r="28" spans="1:9" ht="12.75">
      <c r="A28" s="15">
        <v>9</v>
      </c>
      <c r="B28" s="19" t="s">
        <v>26</v>
      </c>
      <c r="C28" s="20"/>
      <c r="D28" s="30"/>
      <c r="E28" s="30"/>
      <c r="F28" s="30"/>
      <c r="G28" s="30"/>
      <c r="H28" s="30"/>
      <c r="I28" s="30"/>
    </row>
    <row r="29" spans="1:9" ht="12.75">
      <c r="A29" s="15">
        <v>10</v>
      </c>
      <c r="B29" s="19" t="s">
        <v>27</v>
      </c>
      <c r="C29" s="20"/>
      <c r="D29" s="30">
        <f>((D20*I5+D21*J5)*1000+D22+D23-D24-D25-D26-D27-(I8+I9+I10)*D20*1000-(J8+J9+J10)*D21*1000+D31)*I13/100</f>
        <v>195.65</v>
      </c>
      <c r="E29" s="30"/>
      <c r="F29" s="30">
        <f>((F20*I5+F21*J5)*1000+F22+F23-F24-F25-F26-F27-(I8+I9+I10)*F20*1000-(J8+J9+J10)*F21*1000+F31)*I13/100</f>
        <v>982.1499999999977</v>
      </c>
      <c r="G29" s="30">
        <f>((G20*I5+G21*J5)*1000+G22+G23-G24-G25-G26-G27-(I8+I9+I10)*G20*1000-(J8+J9+J10)*G21*1000+G31)*I13/100</f>
        <v>5590.650000000005</v>
      </c>
      <c r="H29" s="30"/>
      <c r="I29" s="30">
        <f>((I20*I5+I21*J5)*1000+I22+I23-I24-I25-I26-I27-(I8+I9+I10)*I20*1000-(J8+J9+J10)*I21*1000+I31)*I13/100</f>
        <v>5675.150000000005</v>
      </c>
    </row>
    <row r="30" spans="1:9" ht="12.75">
      <c r="A30" s="15">
        <v>11</v>
      </c>
      <c r="B30" s="19" t="s">
        <v>28</v>
      </c>
      <c r="C30" s="20"/>
      <c r="D30" s="30">
        <f>(D20*I5+D21*J5)*1000+D22+D23-D24-D25-D26-D27-(I8+I9+I10)*D20*1000-(J8+J9+J10)*D21*1000+D31-D29</f>
        <v>105.35</v>
      </c>
      <c r="E30" s="30"/>
      <c r="F30" s="30">
        <f>(F20*I5+F21*J5)*1000+F23-F24-F25-F26-F27-(I8+I9+I10)*F20*1000-(J8+J9+J10)*F21*1000+F31-F29</f>
        <v>528.8499999999987</v>
      </c>
      <c r="G30" s="30">
        <f>D23-D30-F30</f>
        <v>415.8000000000013</v>
      </c>
      <c r="H30" s="30"/>
      <c r="I30" s="30"/>
    </row>
    <row r="31" spans="1:9" ht="13.5" thickBot="1">
      <c r="A31" s="16">
        <v>12</v>
      </c>
      <c r="B31" s="21" t="s">
        <v>29</v>
      </c>
      <c r="C31" s="22"/>
      <c r="D31" s="31"/>
      <c r="E31" s="31"/>
      <c r="F31" s="31"/>
      <c r="G31" s="31"/>
      <c r="H31" s="31"/>
      <c r="I31" s="31">
        <v>130</v>
      </c>
    </row>
    <row r="34" ht="18">
      <c r="B34" s="59" t="s">
        <v>44</v>
      </c>
    </row>
    <row r="35" spans="5:7" ht="13.5" thickBot="1">
      <c r="E35">
        <f>I14</f>
        <v>35</v>
      </c>
      <c r="G35">
        <v>40</v>
      </c>
    </row>
    <row r="36" spans="1:7" ht="12.75">
      <c r="A36" s="50" t="s">
        <v>35</v>
      </c>
      <c r="B36" s="60" t="s">
        <v>36</v>
      </c>
      <c r="D36" s="44" t="s">
        <v>37</v>
      </c>
      <c r="E36" s="44" t="s">
        <v>38</v>
      </c>
      <c r="F36" s="44" t="s">
        <v>39</v>
      </c>
      <c r="G36" s="45" t="s">
        <v>40</v>
      </c>
    </row>
    <row r="37" spans="1:7" ht="13.5" thickBot="1">
      <c r="A37" s="51"/>
      <c r="B37" s="61" t="s">
        <v>41</v>
      </c>
      <c r="D37" s="48"/>
      <c r="E37" s="48" t="s">
        <v>42</v>
      </c>
      <c r="F37" s="48"/>
      <c r="G37" s="47" t="s">
        <v>43</v>
      </c>
    </row>
    <row r="38" spans="1:7" ht="12.75">
      <c r="A38" s="42">
        <v>1</v>
      </c>
      <c r="B38" s="62">
        <f>(D20*I5+D21*J5)*1000+D22+D23-D24-D25-D26-D27-(I8+I9+I10)*D20*1000-(J8+J9+J10)*D21*1000+D31-D29-D30</f>
        <v>0</v>
      </c>
      <c r="D38" s="14">
        <f>B38*E38</f>
        <v>0</v>
      </c>
      <c r="E38" s="18">
        <f>(1+E35/100)^(10-A38)</f>
        <v>14.893745087865243</v>
      </c>
      <c r="F38" s="4"/>
      <c r="G38" s="55"/>
    </row>
    <row r="39" spans="1:7" ht="12.75">
      <c r="A39" s="52">
        <v>2</v>
      </c>
      <c r="B39" s="53">
        <f>(E20*I5+E21*J5)*1000+E22+E23-E24-E25-E26-E27-(I8+I9+I10)*E20*1000-(J8+J9+J10)*E21*1000+E31-E29-E30</f>
        <v>-809</v>
      </c>
      <c r="D39" s="15"/>
      <c r="E39" s="20"/>
      <c r="F39" s="56">
        <f>B39*G39</f>
        <v>-11939.133463039992</v>
      </c>
      <c r="G39" s="57">
        <f>(1+G35/100)^(10-A39)</f>
        <v>14.757890559999991</v>
      </c>
    </row>
    <row r="40" spans="1:7" ht="12.75">
      <c r="A40" s="52">
        <v>3</v>
      </c>
      <c r="B40" s="53">
        <f>(F20*I5+F21*J5)*1000+F22+F23-F24-F25-F26-F27-(I8+I9+I10)*F20*1000-(J8+J9+J10)*F21*1000+F31-F29-F30</f>
        <v>0</v>
      </c>
      <c r="D40" s="15">
        <f aca="true" t="shared" si="0" ref="D40:D47">B40*E40</f>
        <v>0</v>
      </c>
      <c r="E40" s="20">
        <f>(1+E35/100)^(10-A40)</f>
        <v>8.172150939843753</v>
      </c>
      <c r="F40" s="56"/>
      <c r="G40" s="57"/>
    </row>
    <row r="41" spans="1:7" ht="12.75">
      <c r="A41" s="52">
        <v>4</v>
      </c>
      <c r="B41" s="53">
        <f>(G20*I5+G21*J5)*1000+G22+G23-G24-G25-G26-G27-(I8+I9+I10)*G20*1000-(J8+J9+J10)*G21*1000+G31-G29-G30</f>
        <v>2594.550000000001</v>
      </c>
      <c r="D41" s="15">
        <f t="shared" si="0"/>
        <v>15705.966089608606</v>
      </c>
      <c r="E41" s="20">
        <f>(1+E35/100)^(10-A41)</f>
        <v>6.053445140625002</v>
      </c>
      <c r="F41" s="56"/>
      <c r="G41" s="57"/>
    </row>
    <row r="42" spans="1:7" ht="12.75">
      <c r="A42" s="52">
        <v>5</v>
      </c>
      <c r="B42" s="53">
        <f>(G20*I5+G21*J5)*1000+G22+G23-G24-G25-G26-G27-(I8+I9+I10)*G20*1000-(J8+J9+J10)*G21*1000+G31-G29</f>
        <v>3010.350000000002</v>
      </c>
      <c r="D42" s="63">
        <f t="shared" si="0"/>
        <v>13498.51005857814</v>
      </c>
      <c r="E42" s="30">
        <f>(1+E35/100)^(10-A42)</f>
        <v>4.484033437500002</v>
      </c>
      <c r="F42" s="56"/>
      <c r="G42" s="57"/>
    </row>
    <row r="43" spans="1:7" ht="12.75">
      <c r="A43" s="52">
        <v>6</v>
      </c>
      <c r="B43" s="53">
        <f>B42</f>
        <v>3010.350000000002</v>
      </c>
      <c r="D43" s="64">
        <f t="shared" si="0"/>
        <v>9998.89633968751</v>
      </c>
      <c r="E43" s="30">
        <f>(1+E35/100)^(10-A43)</f>
        <v>3.321506250000001</v>
      </c>
      <c r="F43" s="12"/>
      <c r="G43" s="57"/>
    </row>
    <row r="44" spans="1:7" ht="12.75">
      <c r="A44" s="52">
        <v>7</v>
      </c>
      <c r="B44" s="53">
        <f>B42</f>
        <v>3010.350000000002</v>
      </c>
      <c r="D44" s="64">
        <f t="shared" si="0"/>
        <v>7406.589881250006</v>
      </c>
      <c r="E44" s="30">
        <f>(1+E35/100)^(10-A44)</f>
        <v>2.4603750000000004</v>
      </c>
      <c r="F44" s="12"/>
      <c r="G44" s="57"/>
    </row>
    <row r="45" spans="1:7" ht="12.75">
      <c r="A45" s="52">
        <v>8</v>
      </c>
      <c r="B45" s="53">
        <f>B42</f>
        <v>3010.350000000002</v>
      </c>
      <c r="D45" s="64">
        <f t="shared" si="0"/>
        <v>5486.362875000004</v>
      </c>
      <c r="E45" s="30">
        <f>(1+E35/100)^(10-A45)</f>
        <v>1.8225000000000002</v>
      </c>
      <c r="F45" s="12"/>
      <c r="G45" s="57"/>
    </row>
    <row r="46" spans="1:7" ht="12.75">
      <c r="A46" s="52">
        <v>9</v>
      </c>
      <c r="B46" s="53">
        <f>B42</f>
        <v>3010.350000000002</v>
      </c>
      <c r="D46" s="64">
        <f t="shared" si="0"/>
        <v>4063.972500000003</v>
      </c>
      <c r="E46" s="30">
        <f>(1+E35/100)^(10-A46)</f>
        <v>1.35</v>
      </c>
      <c r="F46" s="12"/>
      <c r="G46" s="57"/>
    </row>
    <row r="47" spans="1:7" ht="13.5" thickBot="1">
      <c r="A47" s="54">
        <v>10</v>
      </c>
      <c r="B47" s="47">
        <f>(I20*I5+I21*J5)*1000+I22+I23-I24-I25-I26-I27-(I8+I9+I10)*I20*1000-(J8+J9+J10)*I21*1000+I31-I29-I30</f>
        <v>3055.850000000002</v>
      </c>
      <c r="D47" s="46">
        <f t="shared" si="0"/>
        <v>3055.850000000002</v>
      </c>
      <c r="E47" s="31">
        <f>(1+E35/100)^(10-A47)</f>
        <v>1</v>
      </c>
      <c r="F47" s="7"/>
      <c r="G47" s="58"/>
    </row>
    <row r="48" spans="4:6" ht="12.75">
      <c r="D48">
        <f>SUM(D38:D47)</f>
        <v>59216.147744124275</v>
      </c>
      <c r="F48">
        <f>SUM(F38:F47)</f>
        <v>-11939.133463039992</v>
      </c>
    </row>
    <row r="50" spans="2:3" ht="12.75">
      <c r="B50" s="65" t="s">
        <v>49</v>
      </c>
      <c r="C50" s="67">
        <f>D48+F48</f>
        <v>47277.01428108428</v>
      </c>
    </row>
    <row r="52" ht="12.75" customHeight="1">
      <c r="B52" s="59" t="s">
        <v>50</v>
      </c>
    </row>
    <row r="53" ht="13.5" thickBot="1"/>
    <row r="54" spans="1:5" ht="12.75">
      <c r="A54" s="50" t="s">
        <v>35</v>
      </c>
      <c r="B54" s="69" t="s">
        <v>36</v>
      </c>
      <c r="C54" s="49" t="s">
        <v>51</v>
      </c>
      <c r="D54" s="49" t="s">
        <v>52</v>
      </c>
      <c r="E54" s="43" t="s">
        <v>53</v>
      </c>
    </row>
    <row r="55" spans="1:5" ht="13.5" thickBot="1">
      <c r="A55" s="51"/>
      <c r="B55" s="70" t="s">
        <v>41</v>
      </c>
      <c r="C55" s="74"/>
      <c r="D55" s="74"/>
      <c r="E55" s="71"/>
    </row>
    <row r="56" spans="1:5" ht="12.75">
      <c r="A56" s="42">
        <v>1</v>
      </c>
      <c r="B56" s="72">
        <f aca="true" t="shared" si="1" ref="B56:B65">B38</f>
        <v>0</v>
      </c>
      <c r="C56" s="29">
        <v>0</v>
      </c>
      <c r="D56" s="29">
        <f aca="true" t="shared" si="2" ref="D56:D65">B56+C56</f>
        <v>0</v>
      </c>
      <c r="E56" s="5">
        <f>D56</f>
        <v>0</v>
      </c>
    </row>
    <row r="57" spans="1:5" ht="12.75">
      <c r="A57" s="52">
        <v>2</v>
      </c>
      <c r="B57" s="56">
        <f t="shared" si="1"/>
        <v>-809</v>
      </c>
      <c r="C57" s="30">
        <f>B56*E35/100</f>
        <v>0</v>
      </c>
      <c r="D57" s="30">
        <f t="shared" si="2"/>
        <v>-809</v>
      </c>
      <c r="E57" s="13">
        <f>D56+D57</f>
        <v>-809</v>
      </c>
    </row>
    <row r="58" spans="1:5" ht="12.75">
      <c r="A58" s="52">
        <v>3</v>
      </c>
      <c r="B58" s="56">
        <f t="shared" si="1"/>
        <v>0</v>
      </c>
      <c r="C58" s="30">
        <f>B57*G35/100</f>
        <v>-323.6</v>
      </c>
      <c r="D58" s="30">
        <f t="shared" si="2"/>
        <v>-323.6</v>
      </c>
      <c r="E58" s="13">
        <f>D56+D57+D58</f>
        <v>-1132.6</v>
      </c>
    </row>
    <row r="59" spans="1:5" ht="12.75">
      <c r="A59" s="52">
        <v>4</v>
      </c>
      <c r="B59" s="56">
        <f t="shared" si="1"/>
        <v>2594.550000000001</v>
      </c>
      <c r="C59" s="30">
        <f>B58*E35/100</f>
        <v>0</v>
      </c>
      <c r="D59" s="30">
        <f t="shared" si="2"/>
        <v>2594.550000000001</v>
      </c>
      <c r="E59" s="13">
        <f>D56+D57+D58+D59</f>
        <v>1461.9500000000012</v>
      </c>
    </row>
    <row r="60" spans="1:5" ht="12.75">
      <c r="A60" s="52">
        <v>5</v>
      </c>
      <c r="B60" s="56">
        <f t="shared" si="1"/>
        <v>3010.350000000002</v>
      </c>
      <c r="C60" s="30">
        <f>B59*E35/100</f>
        <v>908.0925000000004</v>
      </c>
      <c r="D60" s="30">
        <f t="shared" si="2"/>
        <v>3918.442500000003</v>
      </c>
      <c r="E60" s="13">
        <f>D56+D57+D58+D59+D60</f>
        <v>5380.392500000004</v>
      </c>
    </row>
    <row r="61" spans="1:5" ht="12.75">
      <c r="A61" s="52">
        <v>6</v>
      </c>
      <c r="B61" s="56">
        <f t="shared" si="1"/>
        <v>3010.350000000002</v>
      </c>
      <c r="C61" s="30">
        <f>B60*E35/100</f>
        <v>1053.6225000000006</v>
      </c>
      <c r="D61" s="30">
        <f t="shared" si="2"/>
        <v>4063.9725000000026</v>
      </c>
      <c r="E61" s="13">
        <f>D56+D57+D58+D59+D60+D61</f>
        <v>9444.365000000005</v>
      </c>
    </row>
    <row r="62" spans="1:5" ht="12.75">
      <c r="A62" s="52">
        <v>7</v>
      </c>
      <c r="B62" s="56">
        <f t="shared" si="1"/>
        <v>3010.350000000002</v>
      </c>
      <c r="C62" s="30">
        <f>B61*E35/100</f>
        <v>1053.6225000000006</v>
      </c>
      <c r="D62" s="30">
        <f t="shared" si="2"/>
        <v>4063.9725000000026</v>
      </c>
      <c r="E62" s="13">
        <f>D56+D57+D58+D59+D60+D61+D62</f>
        <v>13508.337500000009</v>
      </c>
    </row>
    <row r="63" spans="1:5" ht="12.75">
      <c r="A63" s="52">
        <v>8</v>
      </c>
      <c r="B63" s="56">
        <f t="shared" si="1"/>
        <v>3010.350000000002</v>
      </c>
      <c r="C63" s="30">
        <f>B62*E35/100</f>
        <v>1053.6225000000006</v>
      </c>
      <c r="D63" s="30">
        <f t="shared" si="2"/>
        <v>4063.9725000000026</v>
      </c>
      <c r="E63" s="13">
        <f>D56+D57+D58+D59+D60+D61+D62+D63</f>
        <v>17572.310000000012</v>
      </c>
    </row>
    <row r="64" spans="1:5" ht="12.75">
      <c r="A64" s="52">
        <v>9</v>
      </c>
      <c r="B64" s="56">
        <f t="shared" si="1"/>
        <v>3010.350000000002</v>
      </c>
      <c r="C64" s="30">
        <f>B63*E35/100</f>
        <v>1053.6225000000006</v>
      </c>
      <c r="D64" s="30">
        <f t="shared" si="2"/>
        <v>4063.9725000000026</v>
      </c>
      <c r="E64" s="13">
        <f>D56+D57+D58+D59+D60+D61+D62+D63+D64</f>
        <v>21636.282500000016</v>
      </c>
    </row>
    <row r="65" spans="1:5" ht="13.5" thickBot="1">
      <c r="A65" s="54">
        <v>10</v>
      </c>
      <c r="B65" s="73">
        <f t="shared" si="1"/>
        <v>3055.850000000002</v>
      </c>
      <c r="C65" s="31">
        <f>B64*E35/100</f>
        <v>1053.6225000000006</v>
      </c>
      <c r="D65" s="31">
        <f t="shared" si="2"/>
        <v>4109.472500000003</v>
      </c>
      <c r="E65" s="71">
        <f>E64+D65</f>
        <v>25745.75500000002</v>
      </c>
    </row>
    <row r="70" ht="18">
      <c r="D70" s="1" t="s">
        <v>59</v>
      </c>
    </row>
    <row r="71" ht="18">
      <c r="C71" s="1" t="s">
        <v>60</v>
      </c>
    </row>
    <row r="74" ht="13.5" thickBot="1"/>
    <row r="75" spans="2:3" ht="13.5" thickBot="1">
      <c r="B75" s="75" t="s">
        <v>56</v>
      </c>
      <c r="C75" s="76" t="s">
        <v>57</v>
      </c>
    </row>
    <row r="76" spans="2:3" ht="12.75">
      <c r="B76" s="77">
        <v>0</v>
      </c>
      <c r="C76" s="78">
        <v>0</v>
      </c>
    </row>
    <row r="77" spans="2:3" ht="12.75">
      <c r="B77" s="79">
        <v>10</v>
      </c>
      <c r="C77" s="80">
        <v>0</v>
      </c>
    </row>
    <row r="78" spans="2:3" ht="12.75">
      <c r="B78" s="79">
        <v>10</v>
      </c>
      <c r="C78" s="80">
        <v>0.2</v>
      </c>
    </row>
    <row r="79" spans="2:3" ht="12.75">
      <c r="B79" s="79">
        <v>20</v>
      </c>
      <c r="C79" s="80">
        <v>0.2</v>
      </c>
    </row>
    <row r="80" spans="2:3" ht="12.75">
      <c r="B80" s="79">
        <v>20</v>
      </c>
      <c r="C80" s="80">
        <v>0.4</v>
      </c>
    </row>
    <row r="81" spans="2:3" ht="12.75">
      <c r="B81" s="79">
        <v>30</v>
      </c>
      <c r="C81" s="80">
        <v>0.4</v>
      </c>
    </row>
    <row r="82" spans="2:3" ht="12.75">
      <c r="B82" s="79">
        <v>30</v>
      </c>
      <c r="C82" s="80">
        <v>0.6</v>
      </c>
    </row>
    <row r="83" spans="2:3" ht="12.75">
      <c r="B83" s="79">
        <v>40</v>
      </c>
      <c r="C83" s="80">
        <v>0.6</v>
      </c>
    </row>
    <row r="84" spans="2:3" ht="12.75">
      <c r="B84" s="79">
        <v>40</v>
      </c>
      <c r="C84" s="80">
        <v>0.8</v>
      </c>
    </row>
    <row r="85" spans="2:3" ht="12.75">
      <c r="B85" s="79">
        <v>50</v>
      </c>
      <c r="C85" s="80">
        <v>0.8</v>
      </c>
    </row>
    <row r="86" spans="2:3" ht="13.5" thickBot="1">
      <c r="B86" s="81">
        <v>50</v>
      </c>
      <c r="C86" s="82">
        <v>1</v>
      </c>
    </row>
  </sheetData>
  <printOptions/>
  <pageMargins left="0.75" right="0.5" top="1" bottom="1" header="0.5" footer="0.5"/>
  <pageSetup horizontalDpi="600" verticalDpi="600" orientation="portrait" paperSize="9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B22" sqref="B22"/>
    </sheetView>
  </sheetViews>
  <sheetFormatPr defaultColWidth="9.00390625" defaultRowHeight="12.75"/>
  <sheetData>
    <row r="2" ht="15">
      <c r="A2" s="83" t="s">
        <v>58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Natashka</dc:creator>
  <cp:keywords/>
  <dc:description/>
  <cp:lastModifiedBy>Дмитрий</cp:lastModifiedBy>
  <cp:lastPrinted>2000-04-05T12:29:19Z</cp:lastPrinted>
  <dcterms:created xsi:type="dcterms:W3CDTF">2000-03-30T15:22:46Z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