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5_15.bin" ContentType="application/vnd.openxmlformats-officedocument.oleObject"/>
  <Override PartName="/xl/embeddings/oleObject_5_16.bin" ContentType="application/vnd.openxmlformats-officedocument.oleObject"/>
  <Override PartName="/xl/embeddings/oleObject_5_17.bin" ContentType="application/vnd.openxmlformats-officedocument.oleObject"/>
  <Override PartName="/xl/embeddings/oleObject_5_18.bin" ContentType="application/vnd.openxmlformats-officedocument.oleObject"/>
  <Override PartName="/xl/embeddings/oleObject_5_19.bin" ContentType="application/vnd.openxmlformats-officedocument.oleObject"/>
  <Override PartName="/xl/embeddings/oleObject_5_20.bin" ContentType="application/vnd.openxmlformats-officedocument.oleObject"/>
  <Override PartName="/xl/embeddings/oleObject_5_21.bin" ContentType="application/vnd.openxmlformats-officedocument.oleObject"/>
  <Override PartName="/xl/embeddings/oleObject_5_22.bin" ContentType="application/vnd.openxmlformats-officedocument.oleObject"/>
  <Override PartName="/xl/embeddings/oleObject_5_23.bin" ContentType="application/vnd.openxmlformats-officedocument.oleObject"/>
  <Override PartName="/xl/embeddings/oleObject_5_24.bin" ContentType="application/vnd.openxmlformats-officedocument.oleObject"/>
  <Override PartName="/xl/embeddings/oleObject_5_25.bin" ContentType="application/vnd.openxmlformats-officedocument.oleObject"/>
  <Override PartName="/xl/embeddings/oleObject_5_26.bin" ContentType="application/vnd.openxmlformats-officedocument.oleObject"/>
  <Override PartName="/xl/embeddings/oleObject_5_27.bin" ContentType="application/vnd.openxmlformats-officedocument.oleObject"/>
  <Override PartName="/xl/embeddings/oleObject_5_28.bin" ContentType="application/vnd.openxmlformats-officedocument.oleObject"/>
  <Override PartName="/xl/embeddings/oleObject_5_29.bin" ContentType="application/vnd.openxmlformats-officedocument.oleObject"/>
  <Override PartName="/xl/embeddings/oleObject_5_30.bin" ContentType="application/vnd.openxmlformats-officedocument.oleObject"/>
  <Override PartName="/xl/embeddings/oleObject_5_31.bin" ContentType="application/vnd.openxmlformats-officedocument.oleObject"/>
  <Override PartName="/xl/embeddings/oleObject_5_32.bin" ContentType="application/vnd.openxmlformats-officedocument.oleObject"/>
  <Override PartName="/xl/embeddings/oleObject_5_33.bin" ContentType="application/vnd.openxmlformats-officedocument.oleObject"/>
  <Override PartName="/xl/embeddings/oleObject_5_34.bin" ContentType="application/vnd.openxmlformats-officedocument.oleObject"/>
  <Override PartName="/xl/embeddings/oleObject_5_35.bin" ContentType="application/vnd.openxmlformats-officedocument.oleObject"/>
  <Override PartName="/xl/embeddings/oleObject_5_3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775" windowHeight="9120" tabRatio="603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<sst xmlns="http://schemas.openxmlformats.org/spreadsheetml/2006/main" count="163" uniqueCount="117">
  <si>
    <t>Наименование груза</t>
  </si>
  <si>
    <t xml:space="preserve">Род упаковки </t>
  </si>
  <si>
    <t>Возможные СУГМ</t>
  </si>
  <si>
    <t>Размеры грузовых мест, мм</t>
  </si>
  <si>
    <t>Вес места, т</t>
  </si>
  <si>
    <t>Примечание</t>
  </si>
  <si>
    <r>
      <t>Удельный объем места,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/т</t>
    </r>
  </si>
  <si>
    <r>
      <t>УПО,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/т</t>
    </r>
  </si>
  <si>
    <t>L</t>
  </si>
  <si>
    <t>B</t>
  </si>
  <si>
    <t>H</t>
  </si>
  <si>
    <t>Наименование порта, участка</t>
  </si>
  <si>
    <t>Характеристика каналов, узкостей</t>
  </si>
  <si>
    <t>Наличие бункера</t>
  </si>
  <si>
    <t>Необходимое перегрузочное оборудование для заданного груза</t>
  </si>
  <si>
    <t>Рени</t>
  </si>
  <si>
    <t>Допустимая осадка, м</t>
  </si>
  <si>
    <t>пр. Босфор</t>
  </si>
  <si>
    <t>38-80</t>
  </si>
  <si>
    <t>0,4-2</t>
  </si>
  <si>
    <t>L, мили</t>
  </si>
  <si>
    <t>B, мили</t>
  </si>
  <si>
    <t>H, м</t>
  </si>
  <si>
    <r>
      <t>V</t>
    </r>
    <r>
      <rPr>
        <vertAlign val="subscript"/>
        <sz val="10"/>
        <rFont val="Arial Cyr"/>
        <family val="0"/>
      </rPr>
      <t>o</t>
    </r>
    <r>
      <rPr>
        <sz val="10"/>
        <rFont val="Arial Cyr"/>
        <family val="0"/>
      </rPr>
      <t>, узлы</t>
    </r>
  </si>
  <si>
    <t>пр.Дарданеллы</t>
  </si>
  <si>
    <t>0,7-10</t>
  </si>
  <si>
    <t>53-106</t>
  </si>
  <si>
    <t xml:space="preserve">Пирей </t>
  </si>
  <si>
    <t>вода, топливо</t>
  </si>
  <si>
    <t>Измир</t>
  </si>
  <si>
    <t xml:space="preserve"> портальные краны грузоподъемностью 3-15 т и др.</t>
  </si>
  <si>
    <t xml:space="preserve"> портальные краны грузоподъемностью 15, 30 т и др.</t>
  </si>
  <si>
    <t>Одесса</t>
  </si>
  <si>
    <t xml:space="preserve"> портальные краны грузоподъемностью 5-20 т и др.</t>
  </si>
  <si>
    <t>хлопок</t>
  </si>
  <si>
    <t>кипы</t>
  </si>
  <si>
    <t>поддоны, контейнеры</t>
  </si>
  <si>
    <t xml:space="preserve">Схема движения </t>
  </si>
  <si>
    <t>тыс.т</t>
  </si>
  <si>
    <t>тыс. тм</t>
  </si>
  <si>
    <t>тыс.тнжм</t>
  </si>
  <si>
    <t>миль</t>
  </si>
  <si>
    <t>тонн/сут</t>
  </si>
  <si>
    <t>Наименование показателей</t>
  </si>
  <si>
    <t>Единицы измерения</t>
  </si>
  <si>
    <t>Обозначение</t>
  </si>
  <si>
    <t xml:space="preserve">Ходовое время </t>
  </si>
  <si>
    <t>Стояночное время</t>
  </si>
  <si>
    <t>Время рейса</t>
  </si>
  <si>
    <t>Количество рейсов</t>
  </si>
  <si>
    <t>Провозная способность</t>
  </si>
  <si>
    <t>Число судов</t>
  </si>
  <si>
    <t>Коэффициент ходового времени</t>
  </si>
  <si>
    <t>Эксплуатационная скорость</t>
  </si>
  <si>
    <t>сут.</t>
  </si>
  <si>
    <t>рейс</t>
  </si>
  <si>
    <t>тонн</t>
  </si>
  <si>
    <t>тм.</t>
  </si>
  <si>
    <t>судов</t>
  </si>
  <si>
    <t>миль/сут.</t>
  </si>
  <si>
    <t>-</t>
  </si>
  <si>
    <t>тм/тнжс</t>
  </si>
  <si>
    <t>Производи     тельность</t>
  </si>
  <si>
    <t>Стоимость корпуса</t>
  </si>
  <si>
    <t>Стоимость машины</t>
  </si>
  <si>
    <t>Стоимость судна</t>
  </si>
  <si>
    <t>Эффективная мощность</t>
  </si>
  <si>
    <t xml:space="preserve">Суточные расходы на содержание экипажа </t>
  </si>
  <si>
    <t>Условный объем</t>
  </si>
  <si>
    <t>Суточные расходы на корабельные сборы</t>
  </si>
  <si>
    <t>Суточные расходы на маячные сборы</t>
  </si>
  <si>
    <t>Суточные расходы на канальные сборы</t>
  </si>
  <si>
    <t>Суточные расходы на причальные сборы</t>
  </si>
  <si>
    <t>Суточные расходы на швартовку</t>
  </si>
  <si>
    <t>Суточные расходы на санитарные услуги</t>
  </si>
  <si>
    <t>Суточные расходы на лоцманские услуги</t>
  </si>
  <si>
    <t>Суточные расходы на оплату буксира</t>
  </si>
  <si>
    <t>Агентское вознаграждение</t>
  </si>
  <si>
    <t>Суточные инвалютные прочие</t>
  </si>
  <si>
    <t>Брутто-регистровый тоннаж</t>
  </si>
  <si>
    <t>Суточные прямые постоянные расходы</t>
  </si>
  <si>
    <t>Суточные косвенные расходы</t>
  </si>
  <si>
    <t>Суточные переменные расходы на ходу</t>
  </si>
  <si>
    <t>Суточные переменные расходы на стоянке</t>
  </si>
  <si>
    <t xml:space="preserve">Себестоимость содержания судна на ходу </t>
  </si>
  <si>
    <t>Себестоимость содержания судна на стоянке</t>
  </si>
  <si>
    <t>млн.$</t>
  </si>
  <si>
    <t xml:space="preserve">э.л.с. </t>
  </si>
  <si>
    <t>$/сут.</t>
  </si>
  <si>
    <t>Доходы</t>
  </si>
  <si>
    <t>Расходы</t>
  </si>
  <si>
    <t>Фин.результат</t>
  </si>
  <si>
    <t>Прибыль за вычетом налога</t>
  </si>
  <si>
    <t>Отношение прибыли к расходам</t>
  </si>
  <si>
    <t>Уровень доходности</t>
  </si>
  <si>
    <t>Интенсивность валютных поступлений</t>
  </si>
  <si>
    <t>Удельные капиталовложения</t>
  </si>
  <si>
    <t>Себестоимость перевозки 1 т груза</t>
  </si>
  <si>
    <t>Оборотные средства</t>
  </si>
  <si>
    <t>Приведенные затраты</t>
  </si>
  <si>
    <t>Срок окупаемости</t>
  </si>
  <si>
    <t>Приведенная прибыль</t>
  </si>
  <si>
    <t>$/тнжс</t>
  </si>
  <si>
    <t>$/т</t>
  </si>
  <si>
    <t>лет</t>
  </si>
  <si>
    <t>тыс.$</t>
  </si>
  <si>
    <t>Суточные расходы на прохождение узкостей</t>
  </si>
  <si>
    <t xml:space="preserve">Суточные расходы на амортизацию </t>
  </si>
  <si>
    <t>Суточные расходы на ремонт и снабжение</t>
  </si>
  <si>
    <t>стиральный порошок</t>
  </si>
  <si>
    <t>ящики</t>
  </si>
  <si>
    <t xml:space="preserve"> портальные краны грузоподъемностью 10, 20 т и др.</t>
  </si>
  <si>
    <t xml:space="preserve"> 4500 т</t>
  </si>
  <si>
    <t xml:space="preserve"> 5000 т</t>
  </si>
  <si>
    <t xml:space="preserve">Расчетное значение          п  </t>
  </si>
  <si>
    <r>
      <t>Таблица 3.2.</t>
    </r>
    <r>
      <rPr>
        <sz val="10"/>
        <rFont val="Times New Roman"/>
        <family val="1"/>
      </rPr>
      <t xml:space="preserve"> </t>
    </r>
    <r>
      <rPr>
        <i/>
        <sz val="14"/>
        <rFont val="Times New Roman"/>
        <family val="1"/>
      </rPr>
      <t>Себестоимость содержания судна на ходу и на стоянке</t>
    </r>
  </si>
  <si>
    <t>б.рег.т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</si>
</sst>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</numFmts>
  <fonts count="41">
    <font>
      <sz val="10"/>
      <name val="Arial Cyr"/>
      <family val="0"/>
    </font>
    <font>
      <vertAlign val="superscript"/>
      <sz val="10"/>
      <name val="Arial Cyr"/>
      <family val="0"/>
    </font>
    <font>
      <vertAlign val="subscript"/>
      <sz val="10"/>
      <name val="Arial Cyr"/>
      <family val="0"/>
    </font>
    <font>
      <sz val="2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4.25"/>
      <name val="Arial Cyr"/>
      <family val="0"/>
    </font>
    <font>
      <sz val="26.25"/>
      <name val="Arial Cyr"/>
      <family val="0"/>
    </font>
    <font>
      <sz val="24"/>
      <name val="Arial Cyr"/>
      <family val="0"/>
    </font>
    <font>
      <sz val="15.75"/>
      <name val="Arial Cyr"/>
      <family val="0"/>
    </font>
    <font>
      <b/>
      <sz val="15.75"/>
      <name val="Arial Cyr"/>
      <family val="0"/>
    </font>
    <font>
      <b/>
      <vertAlign val="subscript"/>
      <sz val="15.75"/>
      <name val="Arial Cyr"/>
      <family val="0"/>
    </font>
    <font>
      <sz val="14"/>
      <name val="Arial Cyr"/>
      <family val="0"/>
    </font>
    <font>
      <sz val="15"/>
      <name val="Arial Cyr"/>
      <family val="0"/>
    </font>
    <font>
      <b/>
      <sz val="15"/>
      <name val="Arial Cyr"/>
      <family val="0"/>
    </font>
    <font>
      <b/>
      <vertAlign val="subscript"/>
      <sz val="15"/>
      <name val="Arial Cyr"/>
      <family val="0"/>
    </font>
    <font>
      <b/>
      <sz val="21.5"/>
      <name val="Arial Cyr"/>
      <family val="0"/>
    </font>
    <font>
      <b/>
      <sz val="22.5"/>
      <name val="Arial Cyr"/>
      <family val="0"/>
    </font>
    <font>
      <sz val="9"/>
      <name val="Times New Roman"/>
      <family val="1"/>
    </font>
    <font>
      <sz val="24.75"/>
      <name val="Arial Cyr"/>
      <family val="0"/>
    </font>
    <font>
      <b/>
      <sz val="21.25"/>
      <name val="Arial Cyr"/>
      <family val="0"/>
    </font>
    <font>
      <sz val="14.75"/>
      <name val="Arial Cyr"/>
      <family val="0"/>
    </font>
    <font>
      <b/>
      <sz val="14.75"/>
      <name val="Arial Cyr"/>
      <family val="0"/>
    </font>
    <font>
      <b/>
      <vertAlign val="subscript"/>
      <sz val="14.75"/>
      <name val="Arial Cyr"/>
      <family val="0"/>
    </font>
    <font>
      <sz val="25.75"/>
      <name val="Arial Cyr"/>
      <family val="0"/>
    </font>
    <font>
      <sz val="25"/>
      <name val="Arial Cyr"/>
      <family val="0"/>
    </font>
    <font>
      <b/>
      <sz val="21"/>
      <name val="Arial Cyr"/>
      <family val="0"/>
    </font>
    <font>
      <sz val="24.5"/>
      <name val="Arial Cyr"/>
      <family val="0"/>
    </font>
    <font>
      <b/>
      <sz val="14"/>
      <name val="Arial Cyr"/>
      <family val="0"/>
    </font>
    <font>
      <b/>
      <vertAlign val="subscript"/>
      <sz val="14"/>
      <name val="Arial Cyr"/>
      <family val="0"/>
    </font>
    <font>
      <sz val="23.75"/>
      <name val="Arial Cyr"/>
      <family val="0"/>
    </font>
    <font>
      <b/>
      <sz val="20"/>
      <name val="Arial Cyr"/>
      <family val="0"/>
    </font>
    <font>
      <sz val="14.25"/>
      <name val="Arial Cyr"/>
      <family val="0"/>
    </font>
    <font>
      <b/>
      <sz val="14.25"/>
      <name val="Arial Cyr"/>
      <family val="0"/>
    </font>
    <font>
      <b/>
      <vertAlign val="subscript"/>
      <sz val="14.25"/>
      <name val="Arial Cyr"/>
      <family val="0"/>
    </font>
    <font>
      <sz val="10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i/>
      <vertAlign val="subscript"/>
      <sz val="20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2" fontId="0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0" fillId="0" borderId="1" xfId="0" applyFont="1" applyBorder="1" applyAlignment="1">
      <alignment/>
    </xf>
    <xf numFmtId="0" fontId="0" fillId="0" borderId="9" xfId="0" applyBorder="1" applyAlignment="1">
      <alignment/>
    </xf>
    <xf numFmtId="0" fontId="20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65" fontId="4" fillId="0" borderId="15" xfId="0" applyNumberFormat="1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 Cyr"/>
                <a:ea typeface="Arial Cyr"/>
                <a:cs typeface="Arial Cyr"/>
              </a:rPr>
              <a:t>Время рейса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3575"/>
          <c:w val="0.7975"/>
          <c:h val="0.801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Лист5!$D$15:$F$15</c:f>
              <c:numCache/>
            </c:numRef>
          </c:xVal>
          <c:yVal>
            <c:numRef>
              <c:f>Лист5!$D$5:$F$5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Лист5!$G$15:$I$15</c:f>
              <c:numCache/>
            </c:numRef>
          </c:xVal>
          <c:yVal>
            <c:numRef>
              <c:f>Лист5!$G$5:$I$5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Лист5!$J$15:$L$15</c:f>
              <c:numCache/>
            </c:numRef>
          </c:xVal>
          <c:yVal>
            <c:numRef>
              <c:f>Лист5!$J$5:$L$5</c:f>
              <c:numCache/>
            </c:numRef>
          </c:yVal>
          <c:smooth val="1"/>
        </c:ser>
        <c:axId val="15797404"/>
        <c:axId val="7958909"/>
      </c:scatterChart>
      <c:valAx>
        <c:axId val="15797404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75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3"/>
              <c:y val="0.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958909"/>
        <c:crosses val="autoZero"/>
        <c:crossBetween val="midCat"/>
        <c:dispUnits/>
        <c:majorUnit val="1"/>
      </c:valAx>
      <c:valAx>
        <c:axId val="7958909"/>
        <c:scaling>
          <c:orientation val="minMax"/>
          <c:max val="16"/>
          <c:min val="1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t</a:t>
                </a:r>
                <a:r>
                  <a:rPr lang="en-US" cap="none" sz="1575" b="1" i="0" u="none" baseline="-25000"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575" b="1" i="0" u="none" baseline="0">
                    <a:latin typeface="Arial Cyr"/>
                    <a:ea typeface="Arial Cyr"/>
                    <a:cs typeface="Arial Cyr"/>
                  </a:rPr>
                  <a:t>, сутки</a:t>
                </a:r>
              </a:p>
            </c:rich>
          </c:tx>
          <c:layout>
            <c:manualLayout>
              <c:xMode val="factor"/>
              <c:yMode val="factor"/>
              <c:x val="-0.001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797404"/>
        <c:crosses val="autoZero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25"/>
          <c:y val="0.44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Срок окупаемости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175"/>
          <c:w val="0.775"/>
          <c:h val="0.7962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Лист7!$D$14:$F$14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Лист7!$G$14:$I$14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Лист7!$J$14:$L$14</c:f>
              <c:numCache/>
            </c:numRef>
          </c:yVal>
          <c:smooth val="1"/>
        </c:ser>
        <c:axId val="39463990"/>
        <c:axId val="19631591"/>
      </c:scatterChart>
      <c:valAx>
        <c:axId val="39463990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4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2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631591"/>
        <c:crosses val="autoZero"/>
        <c:crossBetween val="midCat"/>
        <c:dispUnits/>
        <c:majorUnit val="1"/>
      </c:valAx>
      <c:valAx>
        <c:axId val="19631591"/>
        <c:scaling>
          <c:orientation val="minMax"/>
          <c:max val="3.2"/>
          <c:min val="2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n</a:t>
                </a:r>
                <a:r>
                  <a:rPr lang="en-US" cap="none" sz="1400" b="1" i="0" u="none" baseline="-25000">
                    <a:latin typeface="Arial Cyr"/>
                    <a:ea typeface="Arial Cyr"/>
                    <a:cs typeface="Arial Cyr"/>
                  </a:rPr>
                  <a:t>лет</a:t>
                </a:r>
                <a:r>
                  <a:rPr lang="en-US" cap="none" sz="1400" b="1" i="0" u="none" baseline="0">
                    <a:latin typeface="Arial Cyr"/>
                    <a:ea typeface="Arial Cyr"/>
                    <a:cs typeface="Arial Cyr"/>
                  </a:rPr>
                  <a:t>, лет</a:t>
                </a:r>
              </a:p>
            </c:rich>
          </c:tx>
          <c:layout>
            <c:manualLayout>
              <c:xMode val="factor"/>
              <c:yMode val="factor"/>
              <c:x val="-0.00075"/>
              <c:y val="0.1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463990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6"/>
          <c:y val="0.44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yr"/>
                <a:ea typeface="Arial Cyr"/>
                <a:cs typeface="Arial Cyr"/>
              </a:rPr>
              <a:t>Приведенная прибыль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31"/>
          <c:w val="0.7775"/>
          <c:h val="0.7962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Лист7!$D$15:$F$15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Лист7!$G$15:$I$15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Лист7!$J$15:$L$15</c:f>
              <c:numCache/>
            </c:numRef>
          </c:yVal>
          <c:smooth val="1"/>
        </c:ser>
        <c:axId val="42466592"/>
        <c:axId val="46655009"/>
      </c:scatterChart>
      <c:valAx>
        <c:axId val="42466592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425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"/>
              <c:y val="0.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655009"/>
        <c:crosses val="autoZero"/>
        <c:crossBetween val="midCat"/>
        <c:dispUnits/>
        <c:majorUnit val="1"/>
      </c:valAx>
      <c:valAx>
        <c:axId val="46655009"/>
        <c:scaling>
          <c:orientation val="minMax"/>
          <c:max val="8.6"/>
          <c:min val="7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F</a:t>
                </a:r>
                <a:r>
                  <a:rPr lang="en-US" cap="none" sz="1425" b="1" i="0" u="none" baseline="-25000">
                    <a:latin typeface="Arial Cyr"/>
                    <a:ea typeface="Arial Cyr"/>
                    <a:cs typeface="Arial Cyr"/>
                  </a:rPr>
                  <a:t>пр</a:t>
                </a:r>
                <a:r>
                  <a:rPr lang="en-US" cap="none" sz="1425" b="1" i="0" u="none" baseline="0">
                    <a:latin typeface="Arial Cyr"/>
                    <a:ea typeface="Arial Cyr"/>
                    <a:cs typeface="Arial Cyr"/>
                  </a:rPr>
                  <a:t>, $/т</a:t>
                </a:r>
              </a:p>
            </c:rich>
          </c:tx>
          <c:layout>
            <c:manualLayout>
              <c:xMode val="factor"/>
              <c:yMode val="factor"/>
              <c:x val="0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466592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825"/>
          <c:y val="0.4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Провозная способность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5275"/>
          <c:w val="0.72175"/>
          <c:h val="0.797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Лист5!$D$15:$F$15</c:f>
              <c:numCache/>
            </c:numRef>
          </c:xVal>
          <c:yVal>
            <c:numRef>
              <c:f>Лист5!$D$7:$F$7</c:f>
              <c:numCache/>
            </c:numRef>
          </c:yVal>
          <c:smooth val="1"/>
        </c:ser>
        <c:ser>
          <c:idx val="1"/>
          <c:order val="1"/>
          <c:tx>
            <c:v>Dч=5000 т 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Лист5!$G$15:$I$15</c:f>
              <c:numCache/>
            </c:numRef>
          </c:xVal>
          <c:yVal>
            <c:numRef>
              <c:f>Лист5!$G$7:$I$7</c:f>
              <c:numCache/>
            </c:numRef>
          </c:yVal>
          <c:smooth val="1"/>
        </c:ser>
        <c:ser>
          <c:idx val="2"/>
          <c:order val="2"/>
          <c:tx>
            <c:v>Dч=5500 т 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Лист5!$J$15:$L$15</c:f>
              <c:numCache/>
            </c:numRef>
          </c:xVal>
          <c:yVal>
            <c:numRef>
              <c:f>Лист5!$J$7:$L$7</c:f>
              <c:numCache/>
            </c:numRef>
          </c:yVal>
          <c:smooth val="1"/>
        </c:ser>
        <c:axId val="4521318"/>
        <c:axId val="40691863"/>
      </c:scatterChart>
      <c:valAx>
        <c:axId val="4521318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4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691863"/>
        <c:crosses val="autoZero"/>
        <c:crossBetween val="midCat"/>
        <c:dispUnits/>
        <c:majorUnit val="1"/>
      </c:valAx>
      <c:valAx>
        <c:axId val="40691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П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тонны</a:t>
                </a:r>
              </a:p>
            </c:rich>
          </c:tx>
          <c:layout>
            <c:manualLayout>
              <c:xMode val="factor"/>
              <c:yMode val="factor"/>
              <c:x val="0.0005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521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"/>
          <c:y val="0.43075"/>
          <c:w val="0.16025"/>
          <c:h val="0.16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Производительность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3375"/>
          <c:w val="0.7515"/>
          <c:h val="0.762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Лист5!$D$15:$F$15</c:f>
              <c:numCache/>
            </c:numRef>
          </c:xVal>
          <c:yVal>
            <c:numRef>
              <c:f>Лист5!$D$12:$F$12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Лист5!$G$15:$I$15</c:f>
              <c:numCache/>
            </c:numRef>
          </c:xVal>
          <c:yVal>
            <c:numRef>
              <c:f>Лист5!$G$12:$I$12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Лист5!$J$15:$L$15</c:f>
              <c:numCache/>
            </c:numRef>
          </c:xVal>
          <c:yVal>
            <c:numRef>
              <c:f>Лист5!$J$12:$L$12</c:f>
              <c:numCache/>
            </c:numRef>
          </c:yVal>
          <c:smooth val="1"/>
        </c:ser>
        <c:axId val="30682448"/>
        <c:axId val="7706577"/>
      </c:scatterChart>
      <c:valAx>
        <c:axId val="30682448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35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00"/>
            </a:solidFill>
          </a:ln>
        </c:spPr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706577"/>
        <c:crosses val="autoZero"/>
        <c:crossBetween val="midCat"/>
        <c:dispUnits/>
        <c:majorUnit val="1"/>
      </c:valAx>
      <c:valAx>
        <c:axId val="77065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тм/тнжс</a:t>
                </a:r>
              </a:p>
            </c:rich>
          </c:tx>
          <c:layout>
            <c:manualLayout>
              <c:xMode val="factor"/>
              <c:yMode val="factor"/>
              <c:x val="-0.001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68244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4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 Cyr"/>
                <a:ea typeface="Arial Cyr"/>
                <a:cs typeface="Arial Cyr"/>
              </a:rPr>
              <a:t>Финансовый результат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025"/>
          <c:w val="0.72175"/>
          <c:h val="0.7987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Лист7!$D$5:$F$5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Лист7!$G$5:$I$5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Лист7!$J$5:$L$5</c:f>
              <c:numCache/>
            </c:numRef>
          </c:yVal>
          <c:smooth val="1"/>
        </c:ser>
        <c:axId val="2250330"/>
        <c:axId val="20252971"/>
      </c:scatterChart>
      <c:valAx>
        <c:axId val="2250330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475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0252971"/>
        <c:crosses val="autoZero"/>
        <c:crossBetween val="midCat"/>
        <c:dispUnits/>
        <c:majorUnit val="1"/>
      </c:valAx>
      <c:valAx>
        <c:axId val="20252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F</a:t>
                </a:r>
                <a:r>
                  <a:rPr lang="en-US" cap="none" sz="1475" b="1" i="0" u="none" baseline="-25000">
                    <a:latin typeface="Arial Cyr"/>
                    <a:ea typeface="Arial Cyr"/>
                    <a:cs typeface="Arial Cyr"/>
                  </a:rPr>
                  <a:t>вал</a:t>
                </a: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, тыс.$</a:t>
                </a:r>
              </a:p>
            </c:rich>
          </c:tx>
          <c:layout>
            <c:manualLayout>
              <c:xMode val="factor"/>
              <c:yMode val="factor"/>
              <c:x val="-0.001"/>
              <c:y val="0.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50330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.39025"/>
          <c:w val="0.15575"/>
          <c:h val="0.139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4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Соотношение прибыли и расходов</a:t>
            </a:r>
          </a:p>
        </c:rich>
      </c:tx>
      <c:layout>
        <c:manualLayout>
          <c:xMode val="factor"/>
          <c:yMode val="factor"/>
          <c:x val="-0.051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425"/>
          <c:w val="0.75225"/>
          <c:h val="0.79325"/>
        </c:manualLayout>
      </c:layout>
      <c:scatterChart>
        <c:scatterStyle val="smooth"/>
        <c:varyColors val="0"/>
        <c:ser>
          <c:idx val="0"/>
          <c:order val="0"/>
          <c:tx>
            <c:v>Dч=4500 т 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Лист7!$D$7:$F$7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Лист7!$G$7:$I$7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Лист7!$J$7:$L$7</c:f>
              <c:numCache/>
            </c:numRef>
          </c:yVal>
          <c:smooth val="1"/>
        </c:ser>
        <c:axId val="48059012"/>
        <c:axId val="29877925"/>
      </c:scatterChart>
      <c:valAx>
        <c:axId val="48059012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225"/>
              <c:y val="0.1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877925"/>
        <c:crosses val="autoZero"/>
        <c:crossBetween val="midCat"/>
        <c:dispUnits/>
        <c:majorUnit val="1"/>
      </c:valAx>
      <c:valAx>
        <c:axId val="29877925"/>
        <c:scaling>
          <c:orientation val="minMax"/>
          <c:max val="0.96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1" u="none" baseline="-25000">
                    <a:latin typeface="Arial Cyr"/>
                    <a:ea typeface="Arial Cyr"/>
                    <a:cs typeface="Arial Cyr"/>
                  </a:rPr>
                  <a:t>f</a:t>
                </a:r>
                <a:r>
                  <a:rPr lang="en-US" cap="none" sz="1400" b="1" i="0" u="none" baseline="-25000">
                    <a:latin typeface="Arial Cyr"/>
                    <a:ea typeface="Arial Cyr"/>
                    <a:cs typeface="Arial Cyr"/>
                  </a:rPr>
                  <a:t>вал</a:t>
                </a:r>
              </a:p>
            </c:rich>
          </c:tx>
          <c:layout>
            <c:manualLayout>
              <c:xMode val="factor"/>
              <c:yMode val="factor"/>
              <c:x val="-0.001"/>
              <c:y val="0.1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059012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4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50" b="1" i="0" u="none" baseline="0">
                <a:latin typeface="Arial Cyr"/>
                <a:ea typeface="Arial Cyr"/>
                <a:cs typeface="Arial Cyr"/>
              </a:rPr>
              <a:t>Уровень доходности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3425"/>
          <c:w val="0.77"/>
          <c:h val="0.7572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Лист7!$D$8:$F$8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Лист7!$G$8:$I$8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Лист7!$J$8:$L$8</c:f>
              <c:numCache/>
            </c:numRef>
          </c:yVal>
          <c:smooth val="1"/>
        </c:ser>
        <c:axId val="465870"/>
        <c:axId val="4192831"/>
      </c:scatterChart>
      <c:valAx>
        <c:axId val="465870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325"/>
              <c:y val="0.1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192831"/>
        <c:crosses val="autoZero"/>
        <c:crossBetween val="midCat"/>
        <c:dispUnits/>
        <c:majorUnit val="1"/>
      </c:valAx>
      <c:valAx>
        <c:axId val="4192831"/>
        <c:scaling>
          <c:orientation val="minMax"/>
          <c:max val="1.97"/>
          <c:min val="1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К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дох</a:t>
                </a:r>
              </a:p>
            </c:rich>
          </c:tx>
          <c:layout>
            <c:manualLayout>
              <c:xMode val="factor"/>
              <c:yMode val="factor"/>
              <c:x val="-0.001"/>
              <c:y val="0.1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65870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725"/>
          <c:y val="0.42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5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yr"/>
                <a:ea typeface="Arial Cyr"/>
                <a:cs typeface="Arial Cyr"/>
              </a:rPr>
              <a:t>Интенсивность валютных поступлений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3775"/>
          <c:w val="0.76375"/>
          <c:h val="0.7587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Лист7!$D$9:$F$9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Лист7!$G$9:$I$9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Лист7!$J$9:$L$9</c:f>
              <c:numCache/>
            </c:numRef>
          </c:yVal>
          <c:smooth val="1"/>
        </c:ser>
        <c:axId val="37735480"/>
        <c:axId val="4075001"/>
      </c:scatterChart>
      <c:valAx>
        <c:axId val="37735480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475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12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075001"/>
        <c:crosses val="autoZero"/>
        <c:crossBetween val="midCat"/>
        <c:dispUnits/>
        <c:majorUnit val="1"/>
      </c:valAx>
      <c:valAx>
        <c:axId val="4075001"/>
        <c:scaling>
          <c:orientation val="minMax"/>
          <c:max val="1.8"/>
          <c:min val="1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-25000">
                    <a:latin typeface="Arial Cyr"/>
                    <a:ea typeface="Arial Cyr"/>
                    <a:cs typeface="Arial Cyr"/>
                  </a:rPr>
                  <a:t>вал</a:t>
                </a:r>
                <a:r>
                  <a:rPr lang="en-US" cap="none" sz="1475" b="1" i="0" u="none" baseline="0">
                    <a:latin typeface="Arial Cyr"/>
                    <a:ea typeface="Arial Cyr"/>
                    <a:cs typeface="Arial Cyr"/>
                  </a:rPr>
                  <a:t>, $/тнжс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9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7735480"/>
        <c:crosses val="autoZero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6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yr"/>
                <a:ea typeface="Arial Cyr"/>
                <a:cs typeface="Arial Cyr"/>
              </a:rPr>
              <a:t>Себестоимость перевозки 1 тонны груза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425"/>
          <c:w val="0.7675"/>
          <c:h val="0.78825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Лист7!$D$11:$F$11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Лист7!$G$11:$I$11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Лист7!$J$11:$L$11</c:f>
              <c:numCache/>
            </c:numRef>
          </c:yVal>
          <c:smooth val="1"/>
        </c:ser>
        <c:axId val="36675010"/>
        <c:axId val="61639635"/>
      </c:scatterChart>
      <c:valAx>
        <c:axId val="36675010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3"/>
              <c:y val="0.1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1639635"/>
        <c:crosses val="autoZero"/>
        <c:crossBetween val="midCat"/>
        <c:dispUnits/>
        <c:majorUnit val="1"/>
      </c:valAx>
      <c:valAx>
        <c:axId val="61639635"/>
        <c:scaling>
          <c:orientation val="minMax"/>
          <c:min val="15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S, $/т</a:t>
                </a:r>
              </a:p>
            </c:rich>
          </c:tx>
          <c:layout>
            <c:manualLayout>
              <c:xMode val="factor"/>
              <c:yMode val="factor"/>
              <c:x val="0"/>
              <c:y val="0.1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66750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43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latin typeface="Arial Cyr"/>
                <a:ea typeface="Arial Cyr"/>
                <a:cs typeface="Arial Cyr"/>
              </a:rPr>
              <a:t>Приведенные затраты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3275"/>
          <c:w val="0.787"/>
          <c:h val="0.76"/>
        </c:manualLayout>
      </c:layout>
      <c:scatterChart>
        <c:scatterStyle val="smooth"/>
        <c:varyColors val="0"/>
        <c:ser>
          <c:idx val="0"/>
          <c:order val="0"/>
          <c:tx>
            <c:v>Dч=4500 т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Лист7!$D$19:$F$19</c:f>
              <c:numCache/>
            </c:numRef>
          </c:xVal>
          <c:yVal>
            <c:numRef>
              <c:f>Лист7!$D$13:$F$13</c:f>
              <c:numCache/>
            </c:numRef>
          </c:yVal>
          <c:smooth val="1"/>
        </c:ser>
        <c:ser>
          <c:idx val="1"/>
          <c:order val="1"/>
          <c:tx>
            <c:v>Dч=5000 т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Лист7!$G$19:$I$19</c:f>
              <c:numCache/>
            </c:numRef>
          </c:xVal>
          <c:yVal>
            <c:numRef>
              <c:f>Лист7!$G$13:$I$13</c:f>
              <c:numCache/>
            </c:numRef>
          </c:yVal>
          <c:smooth val="1"/>
        </c:ser>
        <c:ser>
          <c:idx val="2"/>
          <c:order val="2"/>
          <c:tx>
            <c:v>Dч=5500 т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Лист7!$J$19:$L$19</c:f>
              <c:numCache/>
            </c:numRef>
          </c:xVal>
          <c:yVal>
            <c:numRef>
              <c:f>Лист7!$J$13:$L$13</c:f>
              <c:numCache/>
            </c:numRef>
          </c:yVal>
          <c:smooth val="1"/>
        </c:ser>
        <c:axId val="17885804"/>
        <c:axId val="26754509"/>
      </c:scatterChart>
      <c:valAx>
        <c:axId val="17885804"/>
        <c:scaling>
          <c:orientation val="minMax"/>
          <c:max val="16"/>
          <c:min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V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т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узлы</a:t>
                </a:r>
              </a:p>
            </c:rich>
          </c:tx>
          <c:layout>
            <c:manualLayout>
              <c:xMode val="factor"/>
              <c:yMode val="factor"/>
              <c:x val="0.00225"/>
              <c:y val="0.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6754509"/>
        <c:crosses val="autoZero"/>
        <c:crossBetween val="midCat"/>
        <c:dispUnits/>
        <c:majorUnit val="1"/>
      </c:valAx>
      <c:valAx>
        <c:axId val="26754509"/>
        <c:scaling>
          <c:orientation val="minMax"/>
          <c:min val="23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S</a:t>
                </a:r>
                <a:r>
                  <a:rPr lang="en-US" cap="none" sz="1500" b="1" i="0" u="none" baseline="-25000">
                    <a:latin typeface="Arial Cyr"/>
                    <a:ea typeface="Arial Cyr"/>
                    <a:cs typeface="Arial Cyr"/>
                  </a:rPr>
                  <a:t>пр</a:t>
                </a:r>
                <a:r>
                  <a:rPr lang="en-US" cap="none" sz="1500" b="1" i="0" u="none" baseline="0">
                    <a:latin typeface="Arial Cyr"/>
                    <a:ea typeface="Arial Cyr"/>
                    <a:cs typeface="Arial Cyr"/>
                  </a:rPr>
                  <a:t>, $/т</a:t>
                </a:r>
              </a:p>
            </c:rich>
          </c:tx>
          <c:layout>
            <c:manualLayout>
              <c:xMode val="factor"/>
              <c:yMode val="factor"/>
              <c:x val="0.0005"/>
              <c:y val="0.1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78858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4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75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4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0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2.wmf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2.wmf" /><Relationship Id="rId8" Type="http://schemas.openxmlformats.org/officeDocument/2006/relationships/image" Target="../media/image3.wmf" /><Relationship Id="rId9" Type="http://schemas.openxmlformats.org/officeDocument/2006/relationships/image" Target="../media/image4.wmf" /><Relationship Id="rId10" Type="http://schemas.openxmlformats.org/officeDocument/2006/relationships/image" Target="../media/image5.wmf" /><Relationship Id="rId11" Type="http://schemas.openxmlformats.org/officeDocument/2006/relationships/image" Target="../media/image6.wmf" /><Relationship Id="rId12" Type="http://schemas.openxmlformats.org/officeDocument/2006/relationships/image" Target="../media/image7.wmf" /><Relationship Id="rId13" Type="http://schemas.openxmlformats.org/officeDocument/2006/relationships/image" Target="../media/image8.wmf" /><Relationship Id="rId14" Type="http://schemas.openxmlformats.org/officeDocument/2006/relationships/image" Target="../media/image9.wmf" /><Relationship Id="rId15" Type="http://schemas.openxmlformats.org/officeDocument/2006/relationships/image" Target="../media/image10.wmf" /><Relationship Id="rId16" Type="http://schemas.openxmlformats.org/officeDocument/2006/relationships/image" Target="../media/image11.wmf" /><Relationship Id="rId17" Type="http://schemas.openxmlformats.org/officeDocument/2006/relationships/image" Target="../media/image12.wmf" /><Relationship Id="rId18" Type="http://schemas.openxmlformats.org/officeDocument/2006/relationships/image" Target="../media/image13.wmf" /><Relationship Id="rId19" Type="http://schemas.openxmlformats.org/officeDocument/2006/relationships/image" Target="../media/image14.wmf" /><Relationship Id="rId20" Type="http://schemas.openxmlformats.org/officeDocument/2006/relationships/image" Target="../media/image15.wmf" /><Relationship Id="rId21" Type="http://schemas.openxmlformats.org/officeDocument/2006/relationships/image" Target="../media/image16.wmf" /><Relationship Id="rId22" Type="http://schemas.openxmlformats.org/officeDocument/2006/relationships/image" Target="../media/image17.wmf" /><Relationship Id="rId23" Type="http://schemas.openxmlformats.org/officeDocument/2006/relationships/image" Target="../media/image1.wmf" /><Relationship Id="rId24" Type="http://schemas.openxmlformats.org/officeDocument/2006/relationships/image" Target="../media/image18.wmf" /><Relationship Id="rId25" Type="http://schemas.openxmlformats.org/officeDocument/2006/relationships/image" Target="../media/image19.wmf" /><Relationship Id="rId26" Type="http://schemas.openxmlformats.org/officeDocument/2006/relationships/image" Target="../media/image31.emf" /><Relationship Id="rId27" Type="http://schemas.openxmlformats.org/officeDocument/2006/relationships/image" Target="../media/image21.wmf" /><Relationship Id="rId28" Type="http://schemas.openxmlformats.org/officeDocument/2006/relationships/image" Target="../media/image22.wmf" /><Relationship Id="rId29" Type="http://schemas.openxmlformats.org/officeDocument/2006/relationships/image" Target="../media/image23.wmf" /><Relationship Id="rId30" Type="http://schemas.openxmlformats.org/officeDocument/2006/relationships/image" Target="../media/image25.wmf" /><Relationship Id="rId31" Type="http://schemas.openxmlformats.org/officeDocument/2006/relationships/image" Target="../media/image26.wmf" /><Relationship Id="rId32" Type="http://schemas.openxmlformats.org/officeDocument/2006/relationships/image" Target="../media/image27.wmf" /><Relationship Id="rId33" Type="http://schemas.openxmlformats.org/officeDocument/2006/relationships/image" Target="../media/image28.wmf" /><Relationship Id="rId34" Type="http://schemas.openxmlformats.org/officeDocument/2006/relationships/image" Target="../media/image24.wmf" /><Relationship Id="rId35" Type="http://schemas.openxmlformats.org/officeDocument/2006/relationships/image" Target="../media/image29.wmf" /><Relationship Id="rId36" Type="http://schemas.openxmlformats.org/officeDocument/2006/relationships/image" Target="../media/image20.wmf" /><Relationship Id="rId37" Type="http://schemas.openxmlformats.org/officeDocument/2006/relationships/image" Target="../media/image3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47625</xdr:rowOff>
    </xdr:from>
    <xdr:to>
      <xdr:col>12</xdr:col>
      <xdr:colOff>9525</xdr:colOff>
      <xdr:row>68</xdr:row>
      <xdr:rowOff>152400</xdr:rowOff>
    </xdr:to>
    <xdr:graphicFrame>
      <xdr:nvGraphicFramePr>
        <xdr:cNvPr id="1" name="Chart 2"/>
        <xdr:cNvGraphicFramePr/>
      </xdr:nvGraphicFramePr>
      <xdr:xfrm>
        <a:off x="0" y="6429375"/>
        <a:ext cx="9867900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69</xdr:row>
      <xdr:rowOff>38100</xdr:rowOff>
    </xdr:from>
    <xdr:to>
      <xdr:col>12</xdr:col>
      <xdr:colOff>0</xdr:colOff>
      <xdr:row>108</xdr:row>
      <xdr:rowOff>0</xdr:rowOff>
    </xdr:to>
    <xdr:graphicFrame>
      <xdr:nvGraphicFramePr>
        <xdr:cNvPr id="2" name="Chart 3"/>
        <xdr:cNvGraphicFramePr/>
      </xdr:nvGraphicFramePr>
      <xdr:xfrm>
        <a:off x="28575" y="12734925"/>
        <a:ext cx="98298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108</xdr:row>
      <xdr:rowOff>28575</xdr:rowOff>
    </xdr:from>
    <xdr:to>
      <xdr:col>11</xdr:col>
      <xdr:colOff>800100</xdr:colOff>
      <xdr:row>147</xdr:row>
      <xdr:rowOff>0</xdr:rowOff>
    </xdr:to>
    <xdr:graphicFrame>
      <xdr:nvGraphicFramePr>
        <xdr:cNvPr id="3" name="Chart 5"/>
        <xdr:cNvGraphicFramePr/>
      </xdr:nvGraphicFramePr>
      <xdr:xfrm>
        <a:off x="28575" y="19040475"/>
        <a:ext cx="9782175" cy="628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142875</xdr:rowOff>
    </xdr:from>
    <xdr:to>
      <xdr:col>4</xdr:col>
      <xdr:colOff>9525</xdr:colOff>
      <xdr:row>3</xdr:row>
      <xdr:rowOff>28575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228600"/>
          <a:ext cx="3048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9525</xdr:rowOff>
    </xdr:from>
    <xdr:to>
      <xdr:col>12</xdr:col>
      <xdr:colOff>676275</xdr:colOff>
      <xdr:row>68</xdr:row>
      <xdr:rowOff>142875</xdr:rowOff>
    </xdr:to>
    <xdr:graphicFrame>
      <xdr:nvGraphicFramePr>
        <xdr:cNvPr id="1" name="Chart 1"/>
        <xdr:cNvGraphicFramePr/>
      </xdr:nvGraphicFramePr>
      <xdr:xfrm>
        <a:off x="9525" y="6315075"/>
        <a:ext cx="10020300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28575</xdr:rowOff>
    </xdr:from>
    <xdr:to>
      <xdr:col>12</xdr:col>
      <xdr:colOff>647700</xdr:colOff>
      <xdr:row>107</xdr:row>
      <xdr:rowOff>133350</xdr:rowOff>
    </xdr:to>
    <xdr:graphicFrame>
      <xdr:nvGraphicFramePr>
        <xdr:cNvPr id="2" name="Chart 2"/>
        <xdr:cNvGraphicFramePr/>
      </xdr:nvGraphicFramePr>
      <xdr:xfrm>
        <a:off x="9525" y="12649200"/>
        <a:ext cx="999172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108</xdr:row>
      <xdr:rowOff>28575</xdr:rowOff>
    </xdr:from>
    <xdr:to>
      <xdr:col>12</xdr:col>
      <xdr:colOff>666750</xdr:colOff>
      <xdr:row>146</xdr:row>
      <xdr:rowOff>142875</xdr:rowOff>
    </xdr:to>
    <xdr:graphicFrame>
      <xdr:nvGraphicFramePr>
        <xdr:cNvPr id="3" name="Chart 4"/>
        <xdr:cNvGraphicFramePr/>
      </xdr:nvGraphicFramePr>
      <xdr:xfrm>
        <a:off x="9525" y="18964275"/>
        <a:ext cx="10010775" cy="626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147</xdr:row>
      <xdr:rowOff>47625</xdr:rowOff>
    </xdr:from>
    <xdr:to>
      <xdr:col>12</xdr:col>
      <xdr:colOff>647700</xdr:colOff>
      <xdr:row>185</xdr:row>
      <xdr:rowOff>133350</xdr:rowOff>
    </xdr:to>
    <xdr:graphicFrame>
      <xdr:nvGraphicFramePr>
        <xdr:cNvPr id="4" name="Chart 5"/>
        <xdr:cNvGraphicFramePr/>
      </xdr:nvGraphicFramePr>
      <xdr:xfrm>
        <a:off x="28575" y="25298400"/>
        <a:ext cx="9972675" cy="623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9525</xdr:colOff>
      <xdr:row>0</xdr:row>
      <xdr:rowOff>38100</xdr:rowOff>
    </xdr:from>
    <xdr:to>
      <xdr:col>27</xdr:col>
      <xdr:colOff>0</xdr:colOff>
      <xdr:row>29</xdr:row>
      <xdr:rowOff>133350</xdr:rowOff>
    </xdr:to>
    <xdr:graphicFrame>
      <xdr:nvGraphicFramePr>
        <xdr:cNvPr id="5" name="Chart 6"/>
        <xdr:cNvGraphicFramePr/>
      </xdr:nvGraphicFramePr>
      <xdr:xfrm>
        <a:off x="10048875" y="38100"/>
        <a:ext cx="9591675" cy="623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19050</xdr:colOff>
      <xdr:row>30</xdr:row>
      <xdr:rowOff>38100</xdr:rowOff>
    </xdr:from>
    <xdr:to>
      <xdr:col>27</xdr:col>
      <xdr:colOff>9525</xdr:colOff>
      <xdr:row>68</xdr:row>
      <xdr:rowOff>142875</xdr:rowOff>
    </xdr:to>
    <xdr:graphicFrame>
      <xdr:nvGraphicFramePr>
        <xdr:cNvPr id="6" name="Chart 7"/>
        <xdr:cNvGraphicFramePr/>
      </xdr:nvGraphicFramePr>
      <xdr:xfrm>
        <a:off x="10058400" y="6343650"/>
        <a:ext cx="9591675" cy="625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9525</xdr:colOff>
      <xdr:row>69</xdr:row>
      <xdr:rowOff>28575</xdr:rowOff>
    </xdr:from>
    <xdr:to>
      <xdr:col>26</xdr:col>
      <xdr:colOff>657225</xdr:colOff>
      <xdr:row>107</xdr:row>
      <xdr:rowOff>142875</xdr:rowOff>
    </xdr:to>
    <xdr:graphicFrame>
      <xdr:nvGraphicFramePr>
        <xdr:cNvPr id="7" name="Chart 8"/>
        <xdr:cNvGraphicFramePr/>
      </xdr:nvGraphicFramePr>
      <xdr:xfrm>
        <a:off x="10048875" y="12649200"/>
        <a:ext cx="9563100" cy="6267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9525</xdr:colOff>
      <xdr:row>108</xdr:row>
      <xdr:rowOff>47625</xdr:rowOff>
    </xdr:from>
    <xdr:to>
      <xdr:col>26</xdr:col>
      <xdr:colOff>657225</xdr:colOff>
      <xdr:row>146</xdr:row>
      <xdr:rowOff>142875</xdr:rowOff>
    </xdr:to>
    <xdr:graphicFrame>
      <xdr:nvGraphicFramePr>
        <xdr:cNvPr id="8" name="Chart 9"/>
        <xdr:cNvGraphicFramePr/>
      </xdr:nvGraphicFramePr>
      <xdr:xfrm>
        <a:off x="10048875" y="18983325"/>
        <a:ext cx="9563100" cy="6248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oleObject" Target="../embeddings/oleObject_5_15.bin" /><Relationship Id="rId17" Type="http://schemas.openxmlformats.org/officeDocument/2006/relationships/oleObject" Target="../embeddings/oleObject_5_16.bin" /><Relationship Id="rId18" Type="http://schemas.openxmlformats.org/officeDocument/2006/relationships/oleObject" Target="../embeddings/oleObject_5_17.bin" /><Relationship Id="rId19" Type="http://schemas.openxmlformats.org/officeDocument/2006/relationships/oleObject" Target="../embeddings/oleObject_5_18.bin" /><Relationship Id="rId20" Type="http://schemas.openxmlformats.org/officeDocument/2006/relationships/oleObject" Target="../embeddings/oleObject_5_19.bin" /><Relationship Id="rId21" Type="http://schemas.openxmlformats.org/officeDocument/2006/relationships/oleObject" Target="../embeddings/oleObject_5_20.bin" /><Relationship Id="rId22" Type="http://schemas.openxmlformats.org/officeDocument/2006/relationships/oleObject" Target="../embeddings/oleObject_5_21.bin" /><Relationship Id="rId23" Type="http://schemas.openxmlformats.org/officeDocument/2006/relationships/oleObject" Target="../embeddings/oleObject_5_22.bin" /><Relationship Id="rId24" Type="http://schemas.openxmlformats.org/officeDocument/2006/relationships/oleObject" Target="../embeddings/oleObject_5_23.bin" /><Relationship Id="rId25" Type="http://schemas.openxmlformats.org/officeDocument/2006/relationships/oleObject" Target="../embeddings/oleObject_5_24.bin" /><Relationship Id="rId26" Type="http://schemas.openxmlformats.org/officeDocument/2006/relationships/oleObject" Target="../embeddings/oleObject_5_25.bin" /><Relationship Id="rId27" Type="http://schemas.openxmlformats.org/officeDocument/2006/relationships/oleObject" Target="../embeddings/oleObject_5_26.bin" /><Relationship Id="rId28" Type="http://schemas.openxmlformats.org/officeDocument/2006/relationships/oleObject" Target="../embeddings/oleObject_5_27.bin" /><Relationship Id="rId29" Type="http://schemas.openxmlformats.org/officeDocument/2006/relationships/oleObject" Target="../embeddings/oleObject_5_28.bin" /><Relationship Id="rId30" Type="http://schemas.openxmlformats.org/officeDocument/2006/relationships/oleObject" Target="../embeddings/oleObject_5_29.bin" /><Relationship Id="rId31" Type="http://schemas.openxmlformats.org/officeDocument/2006/relationships/oleObject" Target="../embeddings/oleObject_5_30.bin" /><Relationship Id="rId32" Type="http://schemas.openxmlformats.org/officeDocument/2006/relationships/oleObject" Target="../embeddings/oleObject_5_31.bin" /><Relationship Id="rId33" Type="http://schemas.openxmlformats.org/officeDocument/2006/relationships/oleObject" Target="../embeddings/oleObject_5_32.bin" /><Relationship Id="rId34" Type="http://schemas.openxmlformats.org/officeDocument/2006/relationships/oleObject" Target="../embeddings/oleObject_5_33.bin" /><Relationship Id="rId35" Type="http://schemas.openxmlformats.org/officeDocument/2006/relationships/oleObject" Target="../embeddings/oleObject_5_34.bin" /><Relationship Id="rId36" Type="http://schemas.openxmlformats.org/officeDocument/2006/relationships/oleObject" Target="../embeddings/oleObject_5_35.bin" /><Relationship Id="rId37" Type="http://schemas.openxmlformats.org/officeDocument/2006/relationships/oleObject" Target="../embeddings/oleObject_5_36.bin" /><Relationship Id="rId38" Type="http://schemas.openxmlformats.org/officeDocument/2006/relationships/vmlDrawing" Target="../drawings/vmlDrawing1.vml" /><Relationship Id="rId39" Type="http://schemas.openxmlformats.org/officeDocument/2006/relationships/drawing" Target="../drawings/drawing2.xml" /><Relationship Id="rId40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A1">
      <selection activeCell="F2" sqref="F2"/>
    </sheetView>
  </sheetViews>
  <sheetFormatPr defaultColWidth="9.00390625" defaultRowHeight="12.75"/>
  <cols>
    <col min="1" max="1" width="14.00390625" style="0" customWidth="1"/>
    <col min="2" max="2" width="8.875" style="0" customWidth="1"/>
    <col min="3" max="3" width="11.125" style="0" customWidth="1"/>
    <col min="4" max="4" width="7.375" style="0" customWidth="1"/>
    <col min="7" max="7" width="7.625" style="0" customWidth="1"/>
    <col min="8" max="8" width="10.75390625" style="0" customWidth="1"/>
    <col min="9" max="9" width="7.625" style="0" customWidth="1"/>
    <col min="10" max="10" width="11.375" style="0" customWidth="1"/>
  </cols>
  <sheetData>
    <row r="1" spans="1:10" ht="14.25" customHeight="1" thickBot="1">
      <c r="A1" s="58" t="s">
        <v>0</v>
      </c>
      <c r="B1" s="58" t="s">
        <v>1</v>
      </c>
      <c r="C1" s="58" t="s">
        <v>2</v>
      </c>
      <c r="D1" s="58" t="s">
        <v>3</v>
      </c>
      <c r="E1" s="58"/>
      <c r="F1" s="58"/>
      <c r="G1" s="58" t="s">
        <v>4</v>
      </c>
      <c r="H1" s="58" t="s">
        <v>6</v>
      </c>
      <c r="I1" s="58" t="s">
        <v>7</v>
      </c>
      <c r="J1" s="58" t="s">
        <v>5</v>
      </c>
    </row>
    <row r="2" spans="1:10" ht="22.5" customHeight="1" thickBot="1">
      <c r="A2" s="58"/>
      <c r="B2" s="58"/>
      <c r="C2" s="58"/>
      <c r="D2" s="2" t="s">
        <v>8</v>
      </c>
      <c r="E2" s="2" t="s">
        <v>9</v>
      </c>
      <c r="F2" s="2" t="s">
        <v>10</v>
      </c>
      <c r="G2" s="58"/>
      <c r="H2" s="58"/>
      <c r="I2" s="58"/>
      <c r="J2" s="58"/>
    </row>
    <row r="3" spans="1:10" ht="29.25" customHeight="1" thickBot="1">
      <c r="A3" s="18" t="s">
        <v>109</v>
      </c>
      <c r="B3" s="4" t="s">
        <v>110</v>
      </c>
      <c r="C3" s="6" t="s">
        <v>36</v>
      </c>
      <c r="D3" s="19">
        <v>600</v>
      </c>
      <c r="E3" s="19">
        <v>400</v>
      </c>
      <c r="F3" s="19">
        <v>500</v>
      </c>
      <c r="G3" s="19">
        <v>0.075</v>
      </c>
      <c r="H3" s="19">
        <v>1.6</v>
      </c>
      <c r="I3" s="19">
        <v>2</v>
      </c>
      <c r="J3" s="17"/>
    </row>
    <row r="4" spans="1:10" ht="27" customHeight="1" thickBot="1">
      <c r="A4" s="5" t="s">
        <v>34</v>
      </c>
      <c r="B4" s="5" t="s">
        <v>35</v>
      </c>
      <c r="C4" s="6" t="s">
        <v>36</v>
      </c>
      <c r="D4" s="20">
        <v>950</v>
      </c>
      <c r="E4" s="20">
        <v>700</v>
      </c>
      <c r="F4" s="20">
        <v>550</v>
      </c>
      <c r="G4" s="20">
        <v>0.35</v>
      </c>
      <c r="H4" s="20">
        <v>1.045</v>
      </c>
      <c r="I4" s="20">
        <v>1.27</v>
      </c>
      <c r="J4" s="17"/>
    </row>
  </sheetData>
  <mergeCells count="8">
    <mergeCell ref="G1:G2"/>
    <mergeCell ref="H1:H2"/>
    <mergeCell ref="I1:I2"/>
    <mergeCell ref="J1:J2"/>
    <mergeCell ref="A1:A2"/>
    <mergeCell ref="B1:B2"/>
    <mergeCell ref="C1:C2"/>
    <mergeCell ref="D1:F1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6" sqref="A1:I8"/>
    </sheetView>
  </sheetViews>
  <sheetFormatPr defaultColWidth="9.00390625" defaultRowHeight="12.75"/>
  <cols>
    <col min="1" max="1" width="14.00390625" style="0" customWidth="1"/>
    <col min="2" max="2" width="11.125" style="0" customWidth="1"/>
    <col min="3" max="3" width="6.00390625" style="0" customWidth="1"/>
    <col min="4" max="4" width="6.25390625" style="0" customWidth="1"/>
    <col min="5" max="5" width="6.00390625" style="0" customWidth="1"/>
    <col min="6" max="6" width="5.875" style="0" customWidth="1"/>
    <col min="7" max="7" width="8.875" style="0" customWidth="1"/>
    <col min="8" max="8" width="19.00390625" style="0" customWidth="1"/>
    <col min="9" max="9" width="12.125" style="0" customWidth="1"/>
  </cols>
  <sheetData>
    <row r="1" spans="1:9" ht="24.75" customHeight="1" thickBot="1">
      <c r="A1" s="58" t="s">
        <v>11</v>
      </c>
      <c r="B1" s="58" t="s">
        <v>16</v>
      </c>
      <c r="C1" s="58" t="s">
        <v>12</v>
      </c>
      <c r="D1" s="58"/>
      <c r="E1" s="58"/>
      <c r="F1" s="58"/>
      <c r="G1" s="58" t="s">
        <v>13</v>
      </c>
      <c r="H1" s="58" t="s">
        <v>14</v>
      </c>
      <c r="I1" s="58" t="s">
        <v>5</v>
      </c>
    </row>
    <row r="2" spans="1:9" ht="28.5" customHeight="1" thickBot="1">
      <c r="A2" s="58"/>
      <c r="B2" s="58"/>
      <c r="C2" s="21" t="s">
        <v>20</v>
      </c>
      <c r="D2" s="21" t="s">
        <v>21</v>
      </c>
      <c r="E2" s="21" t="s">
        <v>22</v>
      </c>
      <c r="F2" s="21" t="s">
        <v>23</v>
      </c>
      <c r="G2" s="58"/>
      <c r="H2" s="58"/>
      <c r="I2" s="58"/>
    </row>
    <row r="3" spans="1:9" ht="39" thickBot="1">
      <c r="A3" s="21" t="s">
        <v>15</v>
      </c>
      <c r="B3" s="21">
        <v>7.1</v>
      </c>
      <c r="C3" s="21"/>
      <c r="D3" s="21"/>
      <c r="E3" s="21"/>
      <c r="F3" s="21"/>
      <c r="G3" s="21"/>
      <c r="H3" s="21" t="s">
        <v>111</v>
      </c>
      <c r="I3" s="21"/>
    </row>
    <row r="4" spans="1:9" ht="13.5" thickBot="1">
      <c r="A4" s="21" t="s">
        <v>17</v>
      </c>
      <c r="B4" s="21"/>
      <c r="C4" s="21">
        <v>16</v>
      </c>
      <c r="D4" s="21" t="s">
        <v>19</v>
      </c>
      <c r="E4" s="21" t="s">
        <v>18</v>
      </c>
      <c r="F4" s="21">
        <v>10</v>
      </c>
      <c r="G4" s="21"/>
      <c r="H4" s="21"/>
      <c r="I4" s="21"/>
    </row>
    <row r="5" spans="1:9" ht="26.25" thickBot="1">
      <c r="A5" s="21" t="s">
        <v>24</v>
      </c>
      <c r="B5" s="21"/>
      <c r="C5" s="21">
        <v>60</v>
      </c>
      <c r="D5" s="21" t="s">
        <v>25</v>
      </c>
      <c r="E5" s="7" t="s">
        <v>26</v>
      </c>
      <c r="F5" s="21">
        <v>10</v>
      </c>
      <c r="G5" s="21"/>
      <c r="H5" s="21"/>
      <c r="I5" s="21"/>
    </row>
    <row r="6" spans="1:9" ht="39" customHeight="1" thickBot="1">
      <c r="A6" s="21" t="s">
        <v>27</v>
      </c>
      <c r="B6" s="21">
        <v>14</v>
      </c>
      <c r="C6" s="21"/>
      <c r="D6" s="21"/>
      <c r="E6" s="21"/>
      <c r="F6" s="21"/>
      <c r="G6" s="21" t="s">
        <v>28</v>
      </c>
      <c r="H6" s="21" t="s">
        <v>31</v>
      </c>
      <c r="I6" s="21"/>
    </row>
    <row r="7" spans="1:9" ht="39" thickBot="1">
      <c r="A7" s="21" t="s">
        <v>29</v>
      </c>
      <c r="B7" s="21">
        <v>12</v>
      </c>
      <c r="C7" s="21"/>
      <c r="D7" s="21"/>
      <c r="E7" s="21"/>
      <c r="F7" s="21"/>
      <c r="G7" s="21" t="s">
        <v>28</v>
      </c>
      <c r="H7" s="21" t="s">
        <v>30</v>
      </c>
      <c r="I7" s="21"/>
    </row>
    <row r="8" spans="1:9" ht="39" thickBot="1">
      <c r="A8" s="21" t="s">
        <v>32</v>
      </c>
      <c r="B8" s="21">
        <v>12</v>
      </c>
      <c r="C8" s="21"/>
      <c r="D8" s="21"/>
      <c r="E8" s="21"/>
      <c r="F8" s="21"/>
      <c r="G8" s="21" t="s">
        <v>28</v>
      </c>
      <c r="H8" s="21" t="s">
        <v>33</v>
      </c>
      <c r="I8" s="2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</sheetData>
  <mergeCells count="6">
    <mergeCell ref="I1:I2"/>
    <mergeCell ref="C1:F1"/>
    <mergeCell ref="A1:A2"/>
    <mergeCell ref="B1:B2"/>
    <mergeCell ref="G1:G2"/>
    <mergeCell ref="H1:H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>
      <selection activeCell="K1" sqref="K1:K2"/>
    </sheetView>
  </sheetViews>
  <sheetFormatPr defaultColWidth="9.00390625" defaultRowHeight="12.75"/>
  <cols>
    <col min="2" max="2" width="8.00390625" style="0" customWidth="1"/>
    <col min="3" max="3" width="7.375" style="0" customWidth="1"/>
    <col min="4" max="4" width="7.75390625" style="0" customWidth="1"/>
    <col min="5" max="5" width="8.875" style="0" customWidth="1"/>
    <col min="6" max="6" width="7.625" style="0" customWidth="1"/>
    <col min="7" max="8" width="6.875" style="0" customWidth="1"/>
    <col min="9" max="9" width="5.625" style="0" customWidth="1"/>
    <col min="10" max="10" width="6.375" style="0" customWidth="1"/>
    <col min="11" max="11" width="8.25390625" style="0" customWidth="1"/>
  </cols>
  <sheetData>
    <row r="1" spans="1:11" ht="13.5" thickBot="1">
      <c r="A1" s="59" t="s">
        <v>37</v>
      </c>
      <c r="B1" s="59" t="s">
        <v>38</v>
      </c>
      <c r="C1" s="59" t="s">
        <v>39</v>
      </c>
      <c r="D1" s="59" t="s">
        <v>38</v>
      </c>
      <c r="E1" s="59" t="s">
        <v>40</v>
      </c>
      <c r="F1" s="59" t="s">
        <v>41</v>
      </c>
      <c r="G1" s="59" t="s">
        <v>41</v>
      </c>
      <c r="H1" s="59"/>
      <c r="I1" s="59"/>
      <c r="J1" s="59"/>
      <c r="K1" s="59" t="s">
        <v>42</v>
      </c>
    </row>
    <row r="2" spans="1:11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39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</sheetData>
  <mergeCells count="11">
    <mergeCell ref="I1:I2"/>
    <mergeCell ref="J1:J2"/>
    <mergeCell ref="K1:K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D11" sqref="D11"/>
    </sheetView>
  </sheetViews>
  <sheetFormatPr defaultColWidth="9.00390625" defaultRowHeight="12.75"/>
  <cols>
    <col min="1" max="1" width="13.25390625" style="0" customWidth="1"/>
  </cols>
  <sheetData>
    <row r="1" spans="1:10" ht="13.5" thickBot="1">
      <c r="A1" s="58" t="s">
        <v>43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3.5" thickBot="1">
      <c r="A2" s="58"/>
      <c r="B2" s="17"/>
      <c r="C2" s="17"/>
      <c r="D2" s="17"/>
      <c r="E2" s="17"/>
      <c r="F2" s="17"/>
      <c r="G2" s="17"/>
      <c r="H2" s="17"/>
      <c r="I2" s="17"/>
      <c r="J2" s="17"/>
    </row>
    <row r="3" spans="1:10" ht="13.5" thickBo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3.5" thickBo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</row>
  </sheetData>
  <mergeCells count="4">
    <mergeCell ref="B1:D1"/>
    <mergeCell ref="E1:G1"/>
    <mergeCell ref="H1:J1"/>
    <mergeCell ref="A1:A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6">
      <selection activeCell="F30" sqref="F30"/>
    </sheetView>
  </sheetViews>
  <sheetFormatPr defaultColWidth="9.00390625" defaultRowHeight="12.75"/>
  <cols>
    <col min="1" max="1" width="13.625" style="0" customWidth="1"/>
    <col min="2" max="2" width="9.875" style="0" customWidth="1"/>
    <col min="3" max="3" width="7.125" style="0" customWidth="1"/>
    <col min="4" max="8" width="10.875" style="0" customWidth="1"/>
    <col min="9" max="9" width="11.25390625" style="0" customWidth="1"/>
    <col min="10" max="10" width="11.125" style="0" customWidth="1"/>
    <col min="11" max="11" width="10.875" style="0" customWidth="1"/>
    <col min="12" max="12" width="11.125" style="0" customWidth="1"/>
  </cols>
  <sheetData>
    <row r="1" spans="1:12" ht="12.75">
      <c r="A1" s="61" t="s">
        <v>43</v>
      </c>
      <c r="B1" s="61" t="s">
        <v>44</v>
      </c>
      <c r="C1" s="61" t="s">
        <v>45</v>
      </c>
      <c r="D1" s="61"/>
      <c r="E1" s="61"/>
      <c r="F1" s="61"/>
      <c r="G1" s="61"/>
      <c r="H1" s="61"/>
      <c r="I1" s="61"/>
      <c r="J1" s="62"/>
      <c r="K1" s="62"/>
      <c r="L1" s="62"/>
    </row>
    <row r="2" spans="1:12" ht="22.5" customHeight="1">
      <c r="A2" s="61"/>
      <c r="B2" s="61"/>
      <c r="C2" s="61"/>
      <c r="D2" s="3"/>
      <c r="E2" s="3"/>
      <c r="F2" s="3"/>
      <c r="G2" s="3"/>
      <c r="H2" s="3"/>
      <c r="I2" s="3"/>
      <c r="J2" s="10"/>
      <c r="K2" s="10"/>
      <c r="L2" s="10"/>
    </row>
    <row r="3" spans="1:12" ht="24.75" customHeight="1">
      <c r="A3" s="3" t="s">
        <v>46</v>
      </c>
      <c r="B3" s="3" t="s">
        <v>54</v>
      </c>
      <c r="C3" s="3"/>
      <c r="D3" s="11">
        <f aca="true" t="shared" si="0" ref="D3:L3">(661-16-60)/(D15*24)+(16+60)/(10*24)+204/(D16*24)+(615-16-60)/(D15*24)+(16+60)/(10*24)+163/(D16*24)+12/24</f>
        <v>6.259444444444444</v>
      </c>
      <c r="E3" s="11">
        <f t="shared" si="0"/>
        <v>5.533169129720854</v>
      </c>
      <c r="F3" s="11">
        <f t="shared" si="0"/>
        <v>4.987184343434343</v>
      </c>
      <c r="G3" s="11">
        <f t="shared" si="0"/>
        <v>6.259444444444444</v>
      </c>
      <c r="H3" s="11">
        <f t="shared" si="0"/>
        <v>5.533169129720854</v>
      </c>
      <c r="I3" s="11">
        <f t="shared" si="0"/>
        <v>4.987184343434343</v>
      </c>
      <c r="J3" s="11">
        <f t="shared" si="0"/>
        <v>6.259444444444444</v>
      </c>
      <c r="K3" s="11">
        <f t="shared" si="0"/>
        <v>5.533169129720854</v>
      </c>
      <c r="L3" s="11">
        <f t="shared" si="0"/>
        <v>4.987184343434343</v>
      </c>
    </row>
    <row r="4" spans="1:12" ht="23.25" customHeight="1">
      <c r="A4" s="3" t="s">
        <v>47</v>
      </c>
      <c r="B4" s="3" t="s">
        <v>54</v>
      </c>
      <c r="C4" s="3"/>
      <c r="D4" s="11">
        <f aca="true" t="shared" si="1" ref="D4:L4">2*0.59*2.54*D17/1720</f>
        <v>7.841511627906977</v>
      </c>
      <c r="E4" s="11">
        <f t="shared" si="1"/>
        <v>7.841511627906977</v>
      </c>
      <c r="F4" s="11">
        <f t="shared" si="1"/>
        <v>7.841511627906977</v>
      </c>
      <c r="G4" s="11">
        <f t="shared" si="1"/>
        <v>8.712790697674418</v>
      </c>
      <c r="H4" s="11">
        <f t="shared" si="1"/>
        <v>8.712790697674418</v>
      </c>
      <c r="I4" s="11">
        <f t="shared" si="1"/>
        <v>8.712790697674418</v>
      </c>
      <c r="J4" s="11">
        <f t="shared" si="1"/>
        <v>9.584069767441859</v>
      </c>
      <c r="K4" s="11">
        <f t="shared" si="1"/>
        <v>9.584069767441859</v>
      </c>
      <c r="L4" s="11">
        <f t="shared" si="1"/>
        <v>9.584069767441859</v>
      </c>
    </row>
    <row r="5" spans="1:12" ht="12.75">
      <c r="A5" s="3" t="s">
        <v>48</v>
      </c>
      <c r="B5" s="3" t="s">
        <v>54</v>
      </c>
      <c r="C5" s="3"/>
      <c r="D5" s="11">
        <f>SUM(D3:D4)</f>
        <v>14.100956072351421</v>
      </c>
      <c r="E5" s="11">
        <f aca="true" t="shared" si="2" ref="E5:J5">SUM(E3:E4)</f>
        <v>13.37468075762783</v>
      </c>
      <c r="F5" s="11">
        <f t="shared" si="2"/>
        <v>12.82869597134132</v>
      </c>
      <c r="G5" s="11">
        <f t="shared" si="2"/>
        <v>14.972235142118862</v>
      </c>
      <c r="H5" s="11">
        <f t="shared" si="2"/>
        <v>14.245959827395271</v>
      </c>
      <c r="I5" s="11">
        <f t="shared" si="2"/>
        <v>13.699975041108761</v>
      </c>
      <c r="J5" s="11">
        <f t="shared" si="2"/>
        <v>15.843514211886303</v>
      </c>
      <c r="K5" s="11">
        <f>SUM(K3:K4)</f>
        <v>15.117238897162713</v>
      </c>
      <c r="L5" s="11">
        <f>SUM(L3:L4)</f>
        <v>14.571254110876202</v>
      </c>
    </row>
    <row r="6" spans="1:12" ht="25.5">
      <c r="A6" s="3" t="s">
        <v>49</v>
      </c>
      <c r="B6" s="3" t="s">
        <v>55</v>
      </c>
      <c r="C6" s="3"/>
      <c r="D6" s="12">
        <f>335/D5</f>
        <v>23.75725435077798</v>
      </c>
      <c r="E6" s="12">
        <f aca="true" t="shared" si="3" ref="E6:L6">335/E5</f>
        <v>25.047326816301258</v>
      </c>
      <c r="F6" s="12">
        <f t="shared" si="3"/>
        <v>26.11333223176959</v>
      </c>
      <c r="G6" s="12">
        <f t="shared" si="3"/>
        <v>22.374748781336</v>
      </c>
      <c r="H6" s="12">
        <f t="shared" si="3"/>
        <v>23.515439047903826</v>
      </c>
      <c r="I6" s="12">
        <f t="shared" si="3"/>
        <v>24.45259929268367</v>
      </c>
      <c r="J6" s="12">
        <f t="shared" si="3"/>
        <v>21.144298892266747</v>
      </c>
      <c r="K6" s="12">
        <f t="shared" si="3"/>
        <v>22.160131375768273</v>
      </c>
      <c r="L6" s="11">
        <f t="shared" si="3"/>
        <v>22.990471338355906</v>
      </c>
    </row>
    <row r="7" spans="1:12" ht="25.5">
      <c r="A7" s="3" t="s">
        <v>50</v>
      </c>
      <c r="B7" s="3" t="s">
        <v>56</v>
      </c>
      <c r="C7" s="3"/>
      <c r="D7" s="13">
        <f aca="true" t="shared" si="4" ref="D7:L7">0.59*2.54*D17*D6</f>
        <v>160211.79616534145</v>
      </c>
      <c r="E7" s="13">
        <f t="shared" si="4"/>
        <v>168911.6578510908</v>
      </c>
      <c r="F7" s="13">
        <f t="shared" si="4"/>
        <v>176100.4785713846</v>
      </c>
      <c r="G7" s="13">
        <f t="shared" si="4"/>
        <v>167653.99261855063</v>
      </c>
      <c r="H7" s="13">
        <f t="shared" si="4"/>
        <v>176201.18478594336</v>
      </c>
      <c r="I7" s="13">
        <f t="shared" si="4"/>
        <v>183223.32650007872</v>
      </c>
      <c r="J7" s="13">
        <f t="shared" si="4"/>
        <v>174277.65475973018</v>
      </c>
      <c r="K7" s="13">
        <f t="shared" si="4"/>
        <v>182650.4508384948</v>
      </c>
      <c r="L7" s="13">
        <f t="shared" si="4"/>
        <v>189494.36191213087</v>
      </c>
    </row>
    <row r="8" spans="1:12" ht="25.5">
      <c r="A8" s="3" t="s">
        <v>50</v>
      </c>
      <c r="B8" s="3" t="s">
        <v>57</v>
      </c>
      <c r="C8" s="3"/>
      <c r="D8" s="13">
        <f>D7*645.7</f>
        <v>103448756.78396098</v>
      </c>
      <c r="E8" s="13">
        <f aca="true" t="shared" si="5" ref="E8:L8">E7*645.7</f>
        <v>109066257.47444934</v>
      </c>
      <c r="F8" s="13">
        <f t="shared" si="5"/>
        <v>113708079.01354304</v>
      </c>
      <c r="G8" s="13">
        <f t="shared" si="5"/>
        <v>108254183.03379816</v>
      </c>
      <c r="H8" s="13">
        <f t="shared" si="5"/>
        <v>113773105.01628363</v>
      </c>
      <c r="I8" s="13">
        <f t="shared" si="5"/>
        <v>118307301.92110084</v>
      </c>
      <c r="J8" s="13">
        <f t="shared" si="5"/>
        <v>112531081.67835778</v>
      </c>
      <c r="K8" s="13">
        <f t="shared" si="5"/>
        <v>117937396.1064161</v>
      </c>
      <c r="L8" s="13">
        <f t="shared" si="5"/>
        <v>122356509.48666291</v>
      </c>
    </row>
    <row r="9" spans="1:12" ht="12.75">
      <c r="A9" s="3" t="s">
        <v>51</v>
      </c>
      <c r="B9" s="3" t="s">
        <v>58</v>
      </c>
      <c r="C9" s="3"/>
      <c r="D9" s="14">
        <f>300000/D7</f>
        <v>1.8725212948139887</v>
      </c>
      <c r="E9" s="14">
        <f aca="true" t="shared" si="6" ref="E9:L9">300000/E7</f>
        <v>1.7760763455680135</v>
      </c>
      <c r="F9" s="14">
        <f t="shared" si="6"/>
        <v>1.7035728831275785</v>
      </c>
      <c r="G9" s="14">
        <f t="shared" si="6"/>
        <v>1.7893996755720896</v>
      </c>
      <c r="H9" s="14">
        <f t="shared" si="6"/>
        <v>1.7025992212507122</v>
      </c>
      <c r="I9" s="14">
        <f t="shared" si="6"/>
        <v>1.6373461050543208</v>
      </c>
      <c r="J9" s="14">
        <f t="shared" si="6"/>
        <v>1.7213910780105361</v>
      </c>
      <c r="K9" s="14">
        <f t="shared" si="6"/>
        <v>1.6424815740820113</v>
      </c>
      <c r="L9" s="14">
        <f t="shared" si="6"/>
        <v>1.583160559358019</v>
      </c>
    </row>
    <row r="10" spans="1:12" ht="38.25">
      <c r="A10" s="3" t="s">
        <v>52</v>
      </c>
      <c r="B10" s="15" t="s">
        <v>60</v>
      </c>
      <c r="C10" s="3"/>
      <c r="D10" s="14">
        <f>D3/D5</f>
        <v>0.4439021306305398</v>
      </c>
      <c r="E10" s="14">
        <f aca="true" t="shared" si="7" ref="E10:L10">E3/E5</f>
        <v>0.4137047627522013</v>
      </c>
      <c r="F10" s="14">
        <f t="shared" si="7"/>
        <v>0.3887522437647185</v>
      </c>
      <c r="G10" s="14">
        <f t="shared" si="7"/>
        <v>0.4180701401646976</v>
      </c>
      <c r="H10" s="14">
        <f t="shared" si="7"/>
        <v>0.38840269078117545</v>
      </c>
      <c r="I10" s="14">
        <f t="shared" si="7"/>
        <v>0.36402871745894233</v>
      </c>
      <c r="J10" s="14">
        <f t="shared" si="7"/>
        <v>0.395079296217528</v>
      </c>
      <c r="K10" s="14">
        <f t="shared" si="7"/>
        <v>0.36601717862375976</v>
      </c>
      <c r="L10" s="14">
        <f t="shared" si="7"/>
        <v>0.34226184688604355</v>
      </c>
    </row>
    <row r="11" spans="1:12" ht="25.5">
      <c r="A11" s="3" t="s">
        <v>53</v>
      </c>
      <c r="B11" s="3" t="s">
        <v>59</v>
      </c>
      <c r="C11" s="3"/>
      <c r="D11" s="16">
        <f>1643/D3</f>
        <v>262.48335848051835</v>
      </c>
      <c r="E11" s="16">
        <f aca="true" t="shared" si="8" ref="E11:L11">1643/E3</f>
        <v>296.93652253909846</v>
      </c>
      <c r="F11" s="16">
        <f t="shared" si="8"/>
        <v>329.44440928136515</v>
      </c>
      <c r="G11" s="16">
        <f t="shared" si="8"/>
        <v>262.48335848051835</v>
      </c>
      <c r="H11" s="16">
        <f t="shared" si="8"/>
        <v>296.93652253909846</v>
      </c>
      <c r="I11" s="16">
        <f t="shared" si="8"/>
        <v>329.44440928136515</v>
      </c>
      <c r="J11" s="16">
        <f t="shared" si="8"/>
        <v>262.48335848051835</v>
      </c>
      <c r="K11" s="16">
        <f t="shared" si="8"/>
        <v>296.93652253909846</v>
      </c>
      <c r="L11" s="16">
        <f t="shared" si="8"/>
        <v>329.44440928136515</v>
      </c>
    </row>
    <row r="12" spans="1:12" ht="24" customHeight="1">
      <c r="A12" s="3" t="s">
        <v>62</v>
      </c>
      <c r="B12" s="3" t="s">
        <v>61</v>
      </c>
      <c r="C12" s="3"/>
      <c r="D12" s="16">
        <f>0.59*D11*D10</f>
        <v>68.7449840298915</v>
      </c>
      <c r="E12" s="16">
        <f aca="true" t="shared" si="9" ref="E12:L12">0.59*E11*E10</f>
        <v>72.47799162960582</v>
      </c>
      <c r="F12" s="16">
        <f t="shared" si="9"/>
        <v>75.56262944928504</v>
      </c>
      <c r="G12" s="16">
        <f t="shared" si="9"/>
        <v>64.74450813780201</v>
      </c>
      <c r="H12" s="16">
        <f t="shared" si="9"/>
        <v>68.04525716378069</v>
      </c>
      <c r="I12" s="16">
        <f t="shared" si="9"/>
        <v>70.7570632129814</v>
      </c>
      <c r="J12" s="16">
        <f t="shared" si="9"/>
        <v>61.18402691700482</v>
      </c>
      <c r="K12" s="16">
        <f t="shared" si="9"/>
        <v>64.12348224396565</v>
      </c>
      <c r="L12" s="16">
        <f t="shared" si="9"/>
        <v>66.52618866048378</v>
      </c>
    </row>
    <row r="13" spans="1:12" ht="12.75">
      <c r="A13" s="1"/>
      <c r="B13" s="1"/>
      <c r="C13" s="1"/>
      <c r="D13" s="9"/>
      <c r="E13" s="9"/>
      <c r="F13" s="9"/>
      <c r="G13" s="9"/>
      <c r="H13" s="9"/>
      <c r="I13" s="9"/>
      <c r="J13" s="8"/>
      <c r="K13" s="8"/>
      <c r="L13" s="8"/>
    </row>
    <row r="14" spans="1:3" ht="12.75">
      <c r="A14" s="1"/>
      <c r="B14" s="1"/>
      <c r="C14" s="1"/>
    </row>
    <row r="15" spans="1:12" ht="12.75">
      <c r="A15" s="1"/>
      <c r="B15" s="1"/>
      <c r="C15" s="1"/>
      <c r="D15" s="1">
        <v>12</v>
      </c>
      <c r="E15" s="1">
        <v>14</v>
      </c>
      <c r="F15" s="1">
        <v>16</v>
      </c>
      <c r="G15" s="1">
        <v>12</v>
      </c>
      <c r="H15" s="1">
        <v>14</v>
      </c>
      <c r="I15" s="1">
        <v>16</v>
      </c>
      <c r="J15" s="1">
        <v>12</v>
      </c>
      <c r="K15" s="1">
        <v>14</v>
      </c>
      <c r="L15" s="1">
        <v>16</v>
      </c>
    </row>
    <row r="16" spans="1:12" ht="12.75">
      <c r="A16" s="1"/>
      <c r="B16" s="1"/>
      <c r="C16" s="1"/>
      <c r="D16" s="1">
        <v>12.5</v>
      </c>
      <c r="E16" s="1">
        <v>14.5</v>
      </c>
      <c r="F16" s="1">
        <v>16.5</v>
      </c>
      <c r="G16" s="1">
        <v>12.5</v>
      </c>
      <c r="H16" s="1">
        <v>14.5</v>
      </c>
      <c r="I16" s="1">
        <v>16.5</v>
      </c>
      <c r="J16" s="1">
        <v>12.5</v>
      </c>
      <c r="K16" s="1">
        <v>14.5</v>
      </c>
      <c r="L16" s="1">
        <v>16.5</v>
      </c>
    </row>
    <row r="17" spans="1:12" ht="12.75">
      <c r="A17" s="1"/>
      <c r="B17" s="1"/>
      <c r="C17" s="1"/>
      <c r="D17" s="1">
        <v>4500</v>
      </c>
      <c r="E17" s="1">
        <v>4500</v>
      </c>
      <c r="F17" s="1">
        <v>4500</v>
      </c>
      <c r="G17" s="1">
        <v>5000</v>
      </c>
      <c r="H17" s="1">
        <v>5000</v>
      </c>
      <c r="I17" s="1">
        <v>5000</v>
      </c>
      <c r="J17" s="1">
        <v>5500</v>
      </c>
      <c r="K17" s="1">
        <v>5500</v>
      </c>
      <c r="L17" s="1">
        <v>5500</v>
      </c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</sheetData>
  <mergeCells count="6">
    <mergeCell ref="G1:I1"/>
    <mergeCell ref="J1:L1"/>
    <mergeCell ref="A1:A2"/>
    <mergeCell ref="B1:B2"/>
    <mergeCell ref="C1:C2"/>
    <mergeCell ref="D1:F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B24" sqref="B24"/>
    </sheetView>
  </sheetViews>
  <sheetFormatPr defaultColWidth="9.00390625" defaultRowHeight="12.75"/>
  <cols>
    <col min="1" max="1" width="17.00390625" style="0" customWidth="1"/>
    <col min="2" max="2" width="8.625" style="0" customWidth="1"/>
    <col min="3" max="3" width="6.00390625" style="0" customWidth="1"/>
    <col min="4" max="5" width="6.25390625" style="0" customWidth="1"/>
    <col min="6" max="6" width="6.75390625" style="0" customWidth="1"/>
    <col min="7" max="7" width="6.25390625" style="0" customWidth="1"/>
    <col min="8" max="8" width="6.625" style="0" customWidth="1"/>
    <col min="9" max="9" width="6.75390625" style="0" customWidth="1"/>
    <col min="10" max="10" width="6.375" style="0" customWidth="1"/>
    <col min="11" max="11" width="6.125" style="0" customWidth="1"/>
    <col min="12" max="12" width="6.375" style="0" customWidth="1"/>
  </cols>
  <sheetData>
    <row r="1" spans="1:12" ht="6.75" customHeight="1">
      <c r="A1" s="67" t="s">
        <v>115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3.5" thickBo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4.25" customHeight="1" thickBot="1">
      <c r="A3" s="70" t="s">
        <v>43</v>
      </c>
      <c r="B3" s="72" t="s">
        <v>44</v>
      </c>
      <c r="C3" s="74" t="s">
        <v>45</v>
      </c>
      <c r="D3" s="30"/>
      <c r="E3" s="65" t="s">
        <v>112</v>
      </c>
      <c r="F3" s="76"/>
      <c r="G3" s="30"/>
      <c r="H3" s="63" t="s">
        <v>113</v>
      </c>
      <c r="I3" s="64"/>
      <c r="K3" s="65" t="s">
        <v>113</v>
      </c>
      <c r="L3" s="66"/>
    </row>
    <row r="4" spans="1:12" ht="17.25" customHeight="1" thickBot="1">
      <c r="A4" s="71"/>
      <c r="B4" s="73"/>
      <c r="C4" s="75"/>
      <c r="D4" s="26"/>
      <c r="E4" s="27"/>
      <c r="F4" s="17"/>
      <c r="G4" s="28"/>
      <c r="H4" s="17"/>
      <c r="I4" s="27"/>
      <c r="J4" s="26"/>
      <c r="K4" s="17"/>
      <c r="L4" s="29"/>
    </row>
    <row r="5" spans="1:12" ht="18" customHeight="1">
      <c r="A5" s="31" t="s">
        <v>63</v>
      </c>
      <c r="B5" s="51" t="s">
        <v>86</v>
      </c>
      <c r="C5" s="32"/>
      <c r="D5" s="33">
        <f>1500*D33/1000000</f>
        <v>7.95</v>
      </c>
      <c r="E5" s="34">
        <f aca="true" t="shared" si="0" ref="E5:L5">1500*E33/1000000</f>
        <v>7.95</v>
      </c>
      <c r="F5" s="33">
        <f t="shared" si="0"/>
        <v>7.95</v>
      </c>
      <c r="G5" s="34">
        <f t="shared" si="0"/>
        <v>8.85</v>
      </c>
      <c r="H5" s="33">
        <f t="shared" si="0"/>
        <v>8.85</v>
      </c>
      <c r="I5" s="34">
        <f t="shared" si="0"/>
        <v>8.85</v>
      </c>
      <c r="J5" s="33">
        <f t="shared" si="0"/>
        <v>9.75</v>
      </c>
      <c r="K5" s="33">
        <f t="shared" si="0"/>
        <v>9.75</v>
      </c>
      <c r="L5" s="35">
        <f t="shared" si="0"/>
        <v>9.75</v>
      </c>
    </row>
    <row r="6" spans="1:12" ht="18" customHeight="1">
      <c r="A6" s="22" t="s">
        <v>64</v>
      </c>
      <c r="B6" s="52" t="s">
        <v>86</v>
      </c>
      <c r="C6" s="24"/>
      <c r="D6" s="36">
        <f>120*D8/1000000</f>
        <v>0.32991691968393744</v>
      </c>
      <c r="E6" s="37">
        <f aca="true" t="shared" si="1" ref="E6:K6">120*E8/1000000</f>
        <v>0.5238958493129193</v>
      </c>
      <c r="F6" s="36">
        <f>105*F8/1000000</f>
        <v>0.6842721297148333</v>
      </c>
      <c r="G6" s="37">
        <f t="shared" si="1"/>
        <v>0.34809089193990594</v>
      </c>
      <c r="H6" s="36">
        <f t="shared" si="1"/>
        <v>0.5527554441453137</v>
      </c>
      <c r="I6" s="37">
        <f>105*I8/1000000</f>
        <v>0.7219662943938792</v>
      </c>
      <c r="J6" s="36">
        <f t="shared" si="1"/>
        <v>0.3653619632765579</v>
      </c>
      <c r="K6" s="36">
        <f t="shared" si="1"/>
        <v>0.5801812657586084</v>
      </c>
      <c r="L6" s="38">
        <f>105*L8/1000000</f>
        <v>0.7577877756847129</v>
      </c>
    </row>
    <row r="7" spans="1:12" ht="18" customHeight="1">
      <c r="A7" s="22" t="s">
        <v>65</v>
      </c>
      <c r="B7" s="52" t="s">
        <v>86</v>
      </c>
      <c r="C7" s="24"/>
      <c r="D7" s="36">
        <f>SUM(D5:D6)</f>
        <v>8.279916919683938</v>
      </c>
      <c r="E7" s="37">
        <f aca="true" t="shared" si="2" ref="E7:L7">SUM(E5:E6)</f>
        <v>8.47389584931292</v>
      </c>
      <c r="F7" s="36">
        <f t="shared" si="2"/>
        <v>8.634272129714834</v>
      </c>
      <c r="G7" s="37">
        <f t="shared" si="2"/>
        <v>9.198090891939906</v>
      </c>
      <c r="H7" s="36">
        <f t="shared" si="2"/>
        <v>9.402755444145313</v>
      </c>
      <c r="I7" s="37">
        <f t="shared" si="2"/>
        <v>9.571966294393878</v>
      </c>
      <c r="J7" s="36">
        <f t="shared" si="2"/>
        <v>10.115361963276557</v>
      </c>
      <c r="K7" s="36">
        <f t="shared" si="2"/>
        <v>10.330181265758608</v>
      </c>
      <c r="L7" s="38">
        <f t="shared" si="2"/>
        <v>10.507787775684713</v>
      </c>
    </row>
    <row r="8" spans="1:12" ht="22.5">
      <c r="A8" s="22" t="s">
        <v>66</v>
      </c>
      <c r="B8" s="52" t="s">
        <v>87</v>
      </c>
      <c r="C8" s="24"/>
      <c r="D8" s="39">
        <f>0.02*POWER(D33,0.5)*POWER(1.03*D34,3)</f>
        <v>2749.307664032812</v>
      </c>
      <c r="E8" s="40">
        <f aca="true" t="shared" si="3" ref="E8:L8">0.02*POWER(E33,0.5)*POWER(1.03*E34,3)</f>
        <v>4365.798744274328</v>
      </c>
      <c r="F8" s="39">
        <f t="shared" si="3"/>
        <v>6516.877425855556</v>
      </c>
      <c r="G8" s="40">
        <f t="shared" si="3"/>
        <v>2900.7574328325495</v>
      </c>
      <c r="H8" s="39">
        <f t="shared" si="3"/>
        <v>4606.295367877614</v>
      </c>
      <c r="I8" s="40">
        <f t="shared" si="3"/>
        <v>6875.869470417896</v>
      </c>
      <c r="J8" s="39">
        <f t="shared" si="3"/>
        <v>3044.6830273046494</v>
      </c>
      <c r="K8" s="39">
        <f t="shared" si="3"/>
        <v>4834.843881321736</v>
      </c>
      <c r="L8" s="41">
        <f t="shared" si="3"/>
        <v>7217.026435092504</v>
      </c>
    </row>
    <row r="9" spans="1:12" ht="27" customHeight="1">
      <c r="A9" s="22" t="s">
        <v>107</v>
      </c>
      <c r="B9" s="52" t="s">
        <v>88</v>
      </c>
      <c r="C9" s="24"/>
      <c r="D9" s="42">
        <f>D7*0.058*1000000/335</f>
        <v>1433.537854751249</v>
      </c>
      <c r="E9" s="43">
        <f aca="true" t="shared" si="4" ref="E9:L9">E7*0.058*1000000/335</f>
        <v>1467.122266448207</v>
      </c>
      <c r="F9" s="42">
        <f t="shared" si="4"/>
        <v>1494.8889060401805</v>
      </c>
      <c r="G9" s="43">
        <f t="shared" si="4"/>
        <v>1592.505288753775</v>
      </c>
      <c r="H9" s="42">
        <f t="shared" si="4"/>
        <v>1627.9397485385916</v>
      </c>
      <c r="I9" s="43">
        <f t="shared" si="4"/>
        <v>1657.2359554472985</v>
      </c>
      <c r="J9" s="42">
        <f t="shared" si="4"/>
        <v>1751.3163996120606</v>
      </c>
      <c r="K9" s="42">
        <f t="shared" si="4"/>
        <v>1788.5089952656695</v>
      </c>
      <c r="L9" s="44">
        <f t="shared" si="4"/>
        <v>1819.2587790737714</v>
      </c>
    </row>
    <row r="10" spans="1:12" ht="25.5" customHeight="1">
      <c r="A10" s="22" t="s">
        <v>108</v>
      </c>
      <c r="B10" s="52" t="s">
        <v>88</v>
      </c>
      <c r="C10" s="24"/>
      <c r="D10" s="42">
        <f>D7*(0.01+0.005)*1000000/335</f>
        <v>370.7425486425644</v>
      </c>
      <c r="E10" s="43">
        <f aca="true" t="shared" si="5" ref="E10:L10">E7*(0.01+0.005)*1000000/335</f>
        <v>379.4281723572949</v>
      </c>
      <c r="F10" s="42">
        <f t="shared" si="5"/>
        <v>386.6091998379776</v>
      </c>
      <c r="G10" s="43">
        <f t="shared" si="5"/>
        <v>411.8548160570106</v>
      </c>
      <c r="H10" s="42">
        <f t="shared" si="5"/>
        <v>421.0189004841185</v>
      </c>
      <c r="I10" s="43">
        <f t="shared" si="5"/>
        <v>428.5955057191289</v>
      </c>
      <c r="J10" s="42">
        <f t="shared" si="5"/>
        <v>452.92665507208466</v>
      </c>
      <c r="K10" s="42">
        <f t="shared" si="5"/>
        <v>462.5454298100869</v>
      </c>
      <c r="L10" s="44">
        <f t="shared" si="5"/>
        <v>470.49796010528564</v>
      </c>
    </row>
    <row r="11" spans="1:12" ht="27.75" customHeight="1">
      <c r="A11" s="22" t="s">
        <v>67</v>
      </c>
      <c r="B11" s="52" t="s">
        <v>88</v>
      </c>
      <c r="C11" s="24"/>
      <c r="D11" s="42">
        <f>1.52*1.4*30*32</f>
        <v>2042.8799999999997</v>
      </c>
      <c r="E11" s="43">
        <f aca="true" t="shared" si="6" ref="E11:L11">1.52*1.4*30*32</f>
        <v>2042.8799999999997</v>
      </c>
      <c r="F11" s="42">
        <f t="shared" si="6"/>
        <v>2042.8799999999997</v>
      </c>
      <c r="G11" s="43">
        <f t="shared" si="6"/>
        <v>2042.8799999999997</v>
      </c>
      <c r="H11" s="42">
        <f t="shared" si="6"/>
        <v>2042.8799999999997</v>
      </c>
      <c r="I11" s="43">
        <f t="shared" si="6"/>
        <v>2042.8799999999997</v>
      </c>
      <c r="J11" s="42">
        <f t="shared" si="6"/>
        <v>2042.8799999999997</v>
      </c>
      <c r="K11" s="42">
        <f t="shared" si="6"/>
        <v>2042.8799999999997</v>
      </c>
      <c r="L11" s="44">
        <f t="shared" si="6"/>
        <v>2042.8799999999997</v>
      </c>
    </row>
    <row r="12" spans="1:12" ht="18" customHeight="1">
      <c r="A12" s="22" t="s">
        <v>68</v>
      </c>
      <c r="B12" s="52" t="s">
        <v>88</v>
      </c>
      <c r="C12" s="24"/>
      <c r="D12" s="39">
        <f>3.506*D35</f>
        <v>15776.999999999998</v>
      </c>
      <c r="E12" s="40">
        <f aca="true" t="shared" si="7" ref="E12:L12">3.506*E35</f>
        <v>15776.999999999998</v>
      </c>
      <c r="F12" s="39">
        <f t="shared" si="7"/>
        <v>15776.999999999998</v>
      </c>
      <c r="G12" s="40">
        <f t="shared" si="7"/>
        <v>17530</v>
      </c>
      <c r="H12" s="39">
        <f t="shared" si="7"/>
        <v>17530</v>
      </c>
      <c r="I12" s="40">
        <f t="shared" si="7"/>
        <v>17530</v>
      </c>
      <c r="J12" s="39">
        <f t="shared" si="7"/>
        <v>19283</v>
      </c>
      <c r="K12" s="39">
        <f t="shared" si="7"/>
        <v>19283</v>
      </c>
      <c r="L12" s="41">
        <f t="shared" si="7"/>
        <v>19283</v>
      </c>
    </row>
    <row r="13" spans="1:12" ht="27.75" customHeight="1">
      <c r="A13" s="22" t="s">
        <v>69</v>
      </c>
      <c r="B13" s="52" t="s">
        <v>88</v>
      </c>
      <c r="C13" s="24"/>
      <c r="D13" s="42">
        <f>2*D12*(0.313+0.194)/Лист5!D5*0.5</f>
        <v>567.2621742070378</v>
      </c>
      <c r="E13" s="43">
        <f>2*E12*(0.313+0.194)/Лист5!E5*0.5</f>
        <v>598.0657890049491</v>
      </c>
      <c r="F13" s="42">
        <f>2*F12*(0.313+0.194)/Лист5!F5*0.5</f>
        <v>623.5192585333099</v>
      </c>
      <c r="G13" s="43">
        <f>2*G12*(0.313+0.194)/Лист5!G5*0.5</f>
        <v>593.6127716160232</v>
      </c>
      <c r="H13" s="42">
        <f>2*H12*(0.313+0.194)/Лист5!H5*0.5</f>
        <v>623.8758291953592</v>
      </c>
      <c r="I13" s="43">
        <f>2*I12*(0.313+0.194)/Лист5!I5*0.5</f>
        <v>648.7391380882913</v>
      </c>
      <c r="J13" s="42">
        <f>2*J12*(0.313+0.194)/Лист5!J5*0.5</f>
        <v>617.0651832196027</v>
      </c>
      <c r="K13" s="42">
        <f>2*K12*(0.313+0.194)/Лист5!K5*0.5</f>
        <v>646.7107562767235</v>
      </c>
      <c r="L13" s="44">
        <f>2*L12*(0.313+0.194)/Лист5!L5*0.5</f>
        <v>670.9430036432271</v>
      </c>
    </row>
    <row r="14" spans="1:12" ht="25.5" customHeight="1">
      <c r="A14" s="22" t="s">
        <v>70</v>
      </c>
      <c r="B14" s="52" t="s">
        <v>88</v>
      </c>
      <c r="C14" s="24"/>
      <c r="D14" s="42">
        <f>D12*0.029*2/Лист5!D5</f>
        <v>64.8938976410418</v>
      </c>
      <c r="E14" s="43">
        <f>E12*0.029*2/Лист5!E5</f>
        <v>68.4177825686135</v>
      </c>
      <c r="F14" s="42">
        <f>F12*0.029*2/Лист5!F5</f>
        <v>71.32961931939245</v>
      </c>
      <c r="G14" s="43">
        <f>G12*0.029*2/Лист5!G5</f>
        <v>67.9083644057778</v>
      </c>
      <c r="H14" s="42">
        <f>H12*0.029*2/Лист5!H5</f>
        <v>71.37041044049474</v>
      </c>
      <c r="I14" s="43">
        <f>I12*0.029*2/Лист5!I5</f>
        <v>74.21473374580057</v>
      </c>
      <c r="J14" s="42">
        <f>J12*0.029*2/Лист5!J5</f>
        <v>70.59128328744961</v>
      </c>
      <c r="K14" s="42">
        <f>K12*0.029*2/Лист5!K5</f>
        <v>73.9826900671597</v>
      </c>
      <c r="L14" s="44">
        <f>L12*0.029*2/Лист5!L5</f>
        <v>76.75482092959994</v>
      </c>
    </row>
    <row r="15" spans="1:12" ht="25.5" customHeight="1">
      <c r="A15" s="22" t="s">
        <v>71</v>
      </c>
      <c r="B15" s="52" t="s">
        <v>88</v>
      </c>
      <c r="C15" s="24"/>
      <c r="D15" s="42">
        <f>D12*0.011*2/Лист5!D5+(1.4*D35/2)*2.5/Лист5!D5</f>
        <v>583.0876968776286</v>
      </c>
      <c r="E15" s="43">
        <f>E12*0.011*2/Лист5!E5+(1.4*E35/2)*2.5/Лист5!E5</f>
        <v>614.7506732308946</v>
      </c>
      <c r="F15" s="42">
        <f>F12*0.011*2/Лист5!F5+(1.4*F35/2)*2.5/Лист5!F5</f>
        <v>640.9142455607146</v>
      </c>
      <c r="G15" s="43">
        <f>G12*0.011*2/Лист5!G5+(1.4*G35/2)*2.5/Лист5!G5</f>
        <v>610.1734252289554</v>
      </c>
      <c r="H15" s="42">
        <f>H12*0.011*2/Лист5!H5+(1.4*H35/2)*2.5/Лист5!H5</f>
        <v>641.28076385783</v>
      </c>
      <c r="I15" s="43">
        <f>I12*0.011*2/Лист5!I5+(1.4*I35/2)*2.5/Лист5!I5</f>
        <v>666.8377112065625</v>
      </c>
      <c r="J15" s="42">
        <f>J12*0.011*2/Лист5!J5+(1.4*J35/2)*2.5/Лист5!J5</f>
        <v>634.2801139699646</v>
      </c>
      <c r="K15" s="42">
        <f>K12*0.011*2/Лист5!K5+(1.4*K35/2)*2.5/Лист5!K5</f>
        <v>664.7527414471232</v>
      </c>
      <c r="L15" s="44">
        <f>L12*0.011*2/Лист5!L5+(1.4*L35/2)*2.5/Лист5!L5</f>
        <v>689.6610218676445</v>
      </c>
    </row>
    <row r="16" spans="1:12" ht="25.5" customHeight="1">
      <c r="A16" s="22" t="s">
        <v>72</v>
      </c>
      <c r="B16" s="52" t="s">
        <v>88</v>
      </c>
      <c r="C16" s="24"/>
      <c r="D16" s="42">
        <f>D12*0.022*2/Лист5!D5</f>
        <v>49.22985338285929</v>
      </c>
      <c r="E16" s="43">
        <f>E12*0.022*2/Лист5!E5</f>
        <v>51.90314539687921</v>
      </c>
      <c r="F16" s="42">
        <f>F12*0.022*2/Лист5!F5</f>
        <v>54.112125000918404</v>
      </c>
      <c r="G16" s="43">
        <f>G12*0.022*2/Лист5!G5</f>
        <v>51.51669023886591</v>
      </c>
      <c r="H16" s="42">
        <f>H12*0.022*2/Лист5!H5</f>
        <v>54.14306998934082</v>
      </c>
      <c r="I16" s="43">
        <f>I12*0.022*2/Лист5!I5</f>
        <v>56.30083249681422</v>
      </c>
      <c r="J16" s="42">
        <f>J12*0.022*2/Лист5!J5</f>
        <v>53.552008011168674</v>
      </c>
      <c r="K16" s="42">
        <f>K12*0.022*2/Лист5!K5</f>
        <v>56.12479936129356</v>
      </c>
      <c r="L16" s="44">
        <f>L12*0.022*2/Лист5!L5</f>
        <v>58.227795187972376</v>
      </c>
    </row>
    <row r="17" spans="1:12" ht="24.75" customHeight="1">
      <c r="A17" s="22" t="s">
        <v>73</v>
      </c>
      <c r="B17" s="52" t="s">
        <v>88</v>
      </c>
      <c r="C17" s="24"/>
      <c r="D17" s="42">
        <f>2*72*2/Лист5!D5</f>
        <v>20.424147023952415</v>
      </c>
      <c r="E17" s="43">
        <f>2*72*2/Лист5!E5</f>
        <v>21.533224248044068</v>
      </c>
      <c r="F17" s="42">
        <f>2*72*2/Лист5!F5</f>
        <v>22.44967069477505</v>
      </c>
      <c r="G17" s="43">
        <f>2*72*2/Лист5!G5</f>
        <v>19.23560492246199</v>
      </c>
      <c r="H17" s="42">
        <f>2*72*2/Лист5!H5</f>
        <v>20.21625804715314</v>
      </c>
      <c r="I17" s="43">
        <f>2*72*2/Лист5!I5</f>
        <v>21.021936108337005</v>
      </c>
      <c r="J17" s="42">
        <f>2*72*2/Лист5!J5</f>
        <v>18.177785316336784</v>
      </c>
      <c r="K17" s="42">
        <f>2*72*2/Лист5!K5</f>
        <v>19.051098018570933</v>
      </c>
      <c r="L17" s="44">
        <f>2*72*2/Лист5!L5</f>
        <v>19.764942523720897</v>
      </c>
    </row>
    <row r="18" spans="1:12" ht="23.25" customHeight="1">
      <c r="A18" s="22" t="s">
        <v>74</v>
      </c>
      <c r="B18" s="52" t="s">
        <v>88</v>
      </c>
      <c r="C18" s="24"/>
      <c r="D18" s="42">
        <f>D12*0.014*2/Лист5!D5</f>
        <v>31.328088516365007</v>
      </c>
      <c r="E18" s="43">
        <f>E12*0.014*2/Лист5!E5</f>
        <v>33.02927434346859</v>
      </c>
      <c r="F18" s="42">
        <f>F12*0.014*2/Лист5!F5</f>
        <v>34.43498863694808</v>
      </c>
      <c r="G18" s="43">
        <f>G12*0.014*2/Лист5!G5</f>
        <v>32.78334833382377</v>
      </c>
      <c r="H18" s="42">
        <f>H12*0.014*2/Лист5!H5</f>
        <v>34.45468090230781</v>
      </c>
      <c r="I18" s="43">
        <f>I12*0.014*2/Лист5!I5</f>
        <v>35.82780249797269</v>
      </c>
      <c r="J18" s="42">
        <f>J12*0.014*2/Лист5!J5</f>
        <v>34.07855055256188</v>
      </c>
      <c r="K18" s="42">
        <f>K12*0.014*2/Лист5!K5</f>
        <v>35.715781411732266</v>
      </c>
      <c r="L18" s="44">
        <f>L12*0.014*2/Лист5!L5</f>
        <v>37.054051483255144</v>
      </c>
    </row>
    <row r="19" spans="1:12" ht="22.5" customHeight="1">
      <c r="A19" s="22" t="s">
        <v>75</v>
      </c>
      <c r="B19" s="52" t="s">
        <v>88</v>
      </c>
      <c r="C19" s="24"/>
      <c r="D19" s="42">
        <f>D12*(0.0011+0.0052)/Лист5!D5</f>
        <v>7.0488199161821266</v>
      </c>
      <c r="E19" s="43">
        <f>E12*(0.0011+0.0052)/Лист5!E5</f>
        <v>7.431586727280433</v>
      </c>
      <c r="F19" s="42">
        <f>F12*(0.0011+0.0052)/Лист5!F5</f>
        <v>7.747872443313318</v>
      </c>
      <c r="G19" s="43">
        <f>G12*(0.0011+0.0052)/Лист5!G5</f>
        <v>7.376253375110347</v>
      </c>
      <c r="H19" s="42">
        <f>H12*(0.0011+0.0052)/Лист5!H5</f>
        <v>7.752303203019256</v>
      </c>
      <c r="I19" s="43">
        <f>I12*(0.0011+0.0052)/Лист5!I5</f>
        <v>8.061255562043856</v>
      </c>
      <c r="J19" s="42">
        <f>J12*(0.0011+0.0052)/Лист5!J5</f>
        <v>7.6676738743264234</v>
      </c>
      <c r="K19" s="42">
        <f>K12*(0.0011+0.0052)/Лист5!K5</f>
        <v>8.03605081763976</v>
      </c>
      <c r="L19" s="44">
        <f>L12*(0.0011+0.0052)/Лист5!L5</f>
        <v>8.337161583732408</v>
      </c>
    </row>
    <row r="20" spans="1:12" ht="22.5" customHeight="1">
      <c r="A20" s="22" t="s">
        <v>76</v>
      </c>
      <c r="B20" s="52" t="s">
        <v>88</v>
      </c>
      <c r="C20" s="24"/>
      <c r="D20" s="42">
        <f>D12*(0.052+0.043)*2/Лист5!D5</f>
        <v>212.58345778961967</v>
      </c>
      <c r="E20" s="43">
        <f>E12*(0.052+0.043)*2/Лист5!E5</f>
        <v>224.12721875925115</v>
      </c>
      <c r="F20" s="42">
        <f>F12*(0.052+0.043)*2/Лист5!F5</f>
        <v>233.66599432214767</v>
      </c>
      <c r="G20" s="43">
        <f>G12*(0.052+0.043)*2/Лист5!G5</f>
        <v>222.45843512237553</v>
      </c>
      <c r="H20" s="42">
        <f>H12*(0.052+0.043)*2/Лист5!H5</f>
        <v>233.7996204085172</v>
      </c>
      <c r="I20" s="43">
        <f>I12*(0.052+0.043)*2/Лист5!I5</f>
        <v>243.11723123624324</v>
      </c>
      <c r="J20" s="42">
        <f>J12*(0.052+0.043)*2/Лист5!J5</f>
        <v>231.24730732095563</v>
      </c>
      <c r="K20" s="42">
        <f>K12*(0.052+0.043)*2/Лист5!K5</f>
        <v>242.3570881510404</v>
      </c>
      <c r="L20" s="44">
        <f>L12*(0.052+0.043)*2/Лист5!L5</f>
        <v>251.43820649351707</v>
      </c>
    </row>
    <row r="21" spans="1:12" ht="21" customHeight="1">
      <c r="A21" s="22" t="s">
        <v>77</v>
      </c>
      <c r="B21" s="52" t="s">
        <v>88</v>
      </c>
      <c r="C21" s="24"/>
      <c r="D21" s="42">
        <f>(1404+1368)/Лист5!D5</f>
        <v>196.582415105542</v>
      </c>
      <c r="E21" s="43">
        <f>(1404+1368)/Лист5!E5</f>
        <v>207.25728338742414</v>
      </c>
      <c r="F21" s="42">
        <f>(1404+1368)/Лист5!F5</f>
        <v>216.07808043720988</v>
      </c>
      <c r="G21" s="43">
        <f>(1674+1764)/Лист5!G5</f>
        <v>229.62503376189002</v>
      </c>
      <c r="H21" s="42">
        <f>(1674+1764)/Лист5!H5</f>
        <v>241.3315804378906</v>
      </c>
      <c r="I21" s="43">
        <f>(1674+1764)/Лист5!I5</f>
        <v>250.949362293273</v>
      </c>
      <c r="J21" s="42">
        <f>(1674+1764)/Лист5!J5</f>
        <v>216.99731221377036</v>
      </c>
      <c r="K21" s="42">
        <f>(1674+1764)/Лист5!K5</f>
        <v>227.42248259669051</v>
      </c>
      <c r="L21" s="44">
        <f>(1674+1764)/Лист5!L5</f>
        <v>235.94400137691824</v>
      </c>
    </row>
    <row r="22" spans="1:12" ht="23.25" customHeight="1">
      <c r="A22" s="22" t="s">
        <v>78</v>
      </c>
      <c r="B22" s="52" t="s">
        <v>88</v>
      </c>
      <c r="C22" s="24"/>
      <c r="D22" s="42">
        <f>D23*(0.2+0.15)/Лист5!D5</f>
        <v>104.58333409686882</v>
      </c>
      <c r="E22" s="43">
        <f>E23*(0.2+0.15)/Лист5!E5</f>
        <v>110.26244489304439</v>
      </c>
      <c r="F22" s="42">
        <f>F23*(0.2+0.15)/Лист5!F5</f>
        <v>114.95517574775047</v>
      </c>
      <c r="G22" s="43">
        <f>G23*(0.2+0.15)/Лист5!G5</f>
        <v>109.64795733014857</v>
      </c>
      <c r="H22" s="42">
        <f>H23*(0.2+0.15)/Лист5!H5</f>
        <v>115.237935519306</v>
      </c>
      <c r="I22" s="43">
        <f>I23*(0.2+0.15)/Лист5!I5</f>
        <v>119.83051028004914</v>
      </c>
      <c r="J22" s="42">
        <f>J23*(0.2+0.15)/Лист5!J5</f>
        <v>114.1555450269431</v>
      </c>
      <c r="K22" s="42">
        <f>K23*(0.2+0.15)/Лист5!K5</f>
        <v>119.63990331193698</v>
      </c>
      <c r="L22" s="44">
        <f>L23*(0.2+0.15)/Лист5!L5</f>
        <v>124.12280962487745</v>
      </c>
    </row>
    <row r="23" spans="1:12" ht="23.25" customHeight="1">
      <c r="A23" s="22" t="s">
        <v>79</v>
      </c>
      <c r="B23" s="52" t="s">
        <v>116</v>
      </c>
      <c r="C23" s="24"/>
      <c r="D23" s="39">
        <f>0.795*D33</f>
        <v>4213.5</v>
      </c>
      <c r="E23" s="40">
        <f aca="true" t="shared" si="8" ref="E23:L23">0.795*E33</f>
        <v>4213.5</v>
      </c>
      <c r="F23" s="39">
        <f t="shared" si="8"/>
        <v>4213.5</v>
      </c>
      <c r="G23" s="40">
        <f t="shared" si="8"/>
        <v>4690.5</v>
      </c>
      <c r="H23" s="39">
        <f t="shared" si="8"/>
        <v>4690.5</v>
      </c>
      <c r="I23" s="40">
        <f t="shared" si="8"/>
        <v>4690.5</v>
      </c>
      <c r="J23" s="39">
        <f t="shared" si="8"/>
        <v>5167.5</v>
      </c>
      <c r="K23" s="39">
        <f t="shared" si="8"/>
        <v>5167.5</v>
      </c>
      <c r="L23" s="41">
        <f t="shared" si="8"/>
        <v>5167.5</v>
      </c>
    </row>
    <row r="24" spans="1:12" ht="35.25" customHeight="1">
      <c r="A24" s="22" t="s">
        <v>106</v>
      </c>
      <c r="B24" s="52" t="s">
        <v>88</v>
      </c>
      <c r="C24" s="24"/>
      <c r="D24" s="42">
        <f>1680/Лист5!D5</f>
        <v>119.14085763972241</v>
      </c>
      <c r="E24" s="43">
        <f>1680/Лист5!E5</f>
        <v>125.61047478025706</v>
      </c>
      <c r="F24" s="42">
        <f>1680/Лист5!F5</f>
        <v>130.9564123861878</v>
      </c>
      <c r="G24" s="43">
        <f>1680/Лист5!G5</f>
        <v>112.20769538102829</v>
      </c>
      <c r="H24" s="42">
        <f>1680/Лист5!H5</f>
        <v>117.92817194172665</v>
      </c>
      <c r="I24" s="43">
        <f>1680/Лист5!I5</f>
        <v>122.62796063196586</v>
      </c>
      <c r="J24" s="42">
        <f>1680/Лист5!J5</f>
        <v>106.03708101196457</v>
      </c>
      <c r="K24" s="42">
        <f>1680/Лист5!K5</f>
        <v>111.13140510833044</v>
      </c>
      <c r="L24" s="44">
        <f>1680/Лист5!L5</f>
        <v>115.29549805503858</v>
      </c>
    </row>
    <row r="25" spans="1:12" ht="27" customHeight="1">
      <c r="A25" s="22" t="s">
        <v>80</v>
      </c>
      <c r="B25" s="52" t="s">
        <v>88</v>
      </c>
      <c r="C25" s="24"/>
      <c r="D25" s="42">
        <f>1.04*D9+D10+D11+D13+D14+D15+D16+D17+D18+D19+D20+D21+D22+D24</f>
        <v>5860.666659780682</v>
      </c>
      <c r="E25" s="43">
        <f aca="true" t="shared" si="9" ref="E25:L25">1.04*E9+E10+E11+E13+E14+E15+E16+E17+E18+E19+E20+E21+E22+E24</f>
        <v>6010.504226803537</v>
      </c>
      <c r="F25" s="42">
        <f t="shared" si="9"/>
        <v>6134.337105202431</v>
      </c>
      <c r="G25" s="43">
        <f t="shared" si="9"/>
        <v>6167.485896077398</v>
      </c>
      <c r="H25" s="42">
        <f t="shared" si="9"/>
        <v>6318.3468629071995</v>
      </c>
      <c r="I25" s="43">
        <f t="shared" si="9"/>
        <v>6442.529373531673</v>
      </c>
      <c r="J25" s="42">
        <f t="shared" si="9"/>
        <v>6421.025554473672</v>
      </c>
      <c r="K25" s="42">
        <f t="shared" si="9"/>
        <v>6570.399581454623</v>
      </c>
      <c r="L25" s="44">
        <f t="shared" si="9"/>
        <v>6692.95040311151</v>
      </c>
    </row>
    <row r="26" spans="1:12" ht="26.25" customHeight="1">
      <c r="A26" s="22" t="s">
        <v>81</v>
      </c>
      <c r="B26" s="52" t="s">
        <v>88</v>
      </c>
      <c r="C26" s="24"/>
      <c r="D26" s="42">
        <f>0.2*D25</f>
        <v>1172.1333319561363</v>
      </c>
      <c r="E26" s="43">
        <f aca="true" t="shared" si="10" ref="E26:L26">0.2*E25</f>
        <v>1202.1008453607074</v>
      </c>
      <c r="F26" s="42">
        <f t="shared" si="10"/>
        <v>1226.8674210404863</v>
      </c>
      <c r="G26" s="43">
        <f t="shared" si="10"/>
        <v>1233.4971792154797</v>
      </c>
      <c r="H26" s="42">
        <f t="shared" si="10"/>
        <v>1263.66937258144</v>
      </c>
      <c r="I26" s="43">
        <f t="shared" si="10"/>
        <v>1288.5058747063347</v>
      </c>
      <c r="J26" s="42">
        <f t="shared" si="10"/>
        <v>1284.2051108947344</v>
      </c>
      <c r="K26" s="42">
        <f t="shared" si="10"/>
        <v>1314.0799162909248</v>
      </c>
      <c r="L26" s="44">
        <f t="shared" si="10"/>
        <v>1338.5900806223021</v>
      </c>
    </row>
    <row r="27" spans="1:12" ht="33.75" customHeight="1">
      <c r="A27" s="22" t="s">
        <v>82</v>
      </c>
      <c r="B27" s="52" t="s">
        <v>88</v>
      </c>
      <c r="C27" s="24"/>
      <c r="D27" s="42">
        <f>140*D8*24*120*1.05/1000000</f>
        <v>1163.9468926449313</v>
      </c>
      <c r="E27" s="43">
        <f aca="true" t="shared" si="11" ref="E27:L27">140*E8*24*120*1.05/1000000</f>
        <v>1848.3045563759797</v>
      </c>
      <c r="F27" s="42">
        <f t="shared" si="11"/>
        <v>2758.9852270102083</v>
      </c>
      <c r="G27" s="43">
        <f t="shared" si="11"/>
        <v>1228.0646667639883</v>
      </c>
      <c r="H27" s="42">
        <f t="shared" si="11"/>
        <v>1950.1212069446667</v>
      </c>
      <c r="I27" s="43">
        <f t="shared" si="11"/>
        <v>2910.9680989961207</v>
      </c>
      <c r="J27" s="42">
        <f t="shared" si="11"/>
        <v>1288.9970064396966</v>
      </c>
      <c r="K27" s="42">
        <f t="shared" si="11"/>
        <v>2046.8795055963708</v>
      </c>
      <c r="L27" s="44">
        <f t="shared" si="11"/>
        <v>3055.4003115607625</v>
      </c>
    </row>
    <row r="28" spans="1:12" ht="34.5" customHeight="1">
      <c r="A28" s="22" t="s">
        <v>83</v>
      </c>
      <c r="B28" s="52" t="s">
        <v>88</v>
      </c>
      <c r="C28" s="24"/>
      <c r="D28" s="42">
        <f>0.1*D27</f>
        <v>116.39468926449314</v>
      </c>
      <c r="E28" s="43">
        <f aca="true" t="shared" si="12" ref="E28:L28">0.1*E27</f>
        <v>184.830455637598</v>
      </c>
      <c r="F28" s="42">
        <f t="shared" si="12"/>
        <v>275.89852270102085</v>
      </c>
      <c r="G28" s="43">
        <f t="shared" si="12"/>
        <v>122.80646667639883</v>
      </c>
      <c r="H28" s="42">
        <f t="shared" si="12"/>
        <v>195.0121206944667</v>
      </c>
      <c r="I28" s="43">
        <f t="shared" si="12"/>
        <v>291.0968098996121</v>
      </c>
      <c r="J28" s="42">
        <f t="shared" si="12"/>
        <v>128.89970064396968</v>
      </c>
      <c r="K28" s="42">
        <f t="shared" si="12"/>
        <v>204.6879505596371</v>
      </c>
      <c r="L28" s="44">
        <f t="shared" si="12"/>
        <v>305.5400311560763</v>
      </c>
    </row>
    <row r="29" spans="1:12" ht="35.25" customHeight="1">
      <c r="A29" s="22" t="s">
        <v>84</v>
      </c>
      <c r="B29" s="52" t="s">
        <v>88</v>
      </c>
      <c r="C29" s="24"/>
      <c r="D29" s="42">
        <f>D25+D27+D26</f>
        <v>8196.74688438175</v>
      </c>
      <c r="E29" s="43">
        <f aca="true" t="shared" si="13" ref="E29:L29">E25+E27+E26</f>
        <v>9060.909628540223</v>
      </c>
      <c r="F29" s="45">
        <f t="shared" si="13"/>
        <v>10120.189753253126</v>
      </c>
      <c r="G29" s="43">
        <f t="shared" si="13"/>
        <v>8629.047742056866</v>
      </c>
      <c r="H29" s="42">
        <f t="shared" si="13"/>
        <v>9532.137442433306</v>
      </c>
      <c r="I29" s="46">
        <f t="shared" si="13"/>
        <v>10642.003347234127</v>
      </c>
      <c r="J29" s="42">
        <f t="shared" si="13"/>
        <v>8994.227671808103</v>
      </c>
      <c r="K29" s="42">
        <f t="shared" si="13"/>
        <v>9931.359003341919</v>
      </c>
      <c r="L29" s="47">
        <f t="shared" si="13"/>
        <v>11086.940795294575</v>
      </c>
    </row>
    <row r="30" spans="1:12" ht="33.75" customHeight="1" thickBot="1">
      <c r="A30" s="23" t="s">
        <v>85</v>
      </c>
      <c r="B30" s="53" t="s">
        <v>88</v>
      </c>
      <c r="C30" s="25"/>
      <c r="D30" s="48">
        <f>D25+D28+D26</f>
        <v>7149.194681001311</v>
      </c>
      <c r="E30" s="49">
        <f aca="true" t="shared" si="14" ref="E30:L30">E25+E28+E26</f>
        <v>7397.435527801842</v>
      </c>
      <c r="F30" s="48">
        <f t="shared" si="14"/>
        <v>7637.103048943938</v>
      </c>
      <c r="G30" s="49">
        <f t="shared" si="14"/>
        <v>7523.789541969276</v>
      </c>
      <c r="H30" s="48">
        <f t="shared" si="14"/>
        <v>7777.028356183107</v>
      </c>
      <c r="I30" s="49">
        <f t="shared" si="14"/>
        <v>8022.132058137619</v>
      </c>
      <c r="J30" s="48">
        <f t="shared" si="14"/>
        <v>7834.130366012376</v>
      </c>
      <c r="K30" s="48">
        <f t="shared" si="14"/>
        <v>8089.167448305185</v>
      </c>
      <c r="L30" s="50">
        <f t="shared" si="14"/>
        <v>8337.080514889889</v>
      </c>
    </row>
    <row r="33" spans="4:12" ht="12.75">
      <c r="D33">
        <v>5300</v>
      </c>
      <c r="E33">
        <v>5300</v>
      </c>
      <c r="F33">
        <v>5300</v>
      </c>
      <c r="G33">
        <v>5900</v>
      </c>
      <c r="H33">
        <v>5900</v>
      </c>
      <c r="I33">
        <v>5900</v>
      </c>
      <c r="J33">
        <v>6500</v>
      </c>
      <c r="K33">
        <v>6500</v>
      </c>
      <c r="L33">
        <v>6500</v>
      </c>
    </row>
    <row r="34" spans="4:12" ht="12.75">
      <c r="D34">
        <v>12</v>
      </c>
      <c r="E34">
        <v>14</v>
      </c>
      <c r="F34">
        <v>16</v>
      </c>
      <c r="G34">
        <v>12</v>
      </c>
      <c r="H34">
        <v>14</v>
      </c>
      <c r="I34">
        <v>16</v>
      </c>
      <c r="J34">
        <v>12</v>
      </c>
      <c r="K34">
        <v>14</v>
      </c>
      <c r="L34">
        <v>16</v>
      </c>
    </row>
    <row r="35" spans="4:12" ht="12.75">
      <c r="D35">
        <v>4500</v>
      </c>
      <c r="E35">
        <v>4500</v>
      </c>
      <c r="F35">
        <v>4500</v>
      </c>
      <c r="G35">
        <v>5000</v>
      </c>
      <c r="H35">
        <v>5000</v>
      </c>
      <c r="I35">
        <v>5000</v>
      </c>
      <c r="J35">
        <v>5500</v>
      </c>
      <c r="K35">
        <v>5500</v>
      </c>
      <c r="L35">
        <v>5500</v>
      </c>
    </row>
  </sheetData>
  <mergeCells count="7">
    <mergeCell ref="H3:I3"/>
    <mergeCell ref="K3:L3"/>
    <mergeCell ref="A1:L2"/>
    <mergeCell ref="A3:A4"/>
    <mergeCell ref="B3:B4"/>
    <mergeCell ref="C3:C4"/>
    <mergeCell ref="E3:F3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40"/>
  <drawing r:id="rId39"/>
  <legacyDrawing r:id="rId38"/>
  <oleObjects>
    <oleObject progId="Equation.3" shapeId="717736" r:id="rId1"/>
    <oleObject progId="Equation.3" shapeId="719351" r:id="rId2"/>
    <oleObject progId="Equation.3" shapeId="719774" r:id="rId3"/>
    <oleObject progId="Equation.3" shapeId="720474" r:id="rId4"/>
    <oleObject progId="Equation.3" shapeId="720476" r:id="rId5"/>
    <oleObject progId="Equation.3" shapeId="720477" r:id="rId6"/>
    <oleObject progId="Equation.3" shapeId="720595" r:id="rId7"/>
    <oleObject progId="Equation.3" shapeId="720597" r:id="rId8"/>
    <oleObject progId="Equation.3" shapeId="720598" r:id="rId9"/>
    <oleObject progId="Equation.3" shapeId="734083" r:id="rId10"/>
    <oleObject progId="Equation.3" shapeId="734820" r:id="rId11"/>
    <oleObject progId="Equation.3" shapeId="735535" r:id="rId12"/>
    <oleObject progId="Equation.3" shapeId="736606" r:id="rId13"/>
    <oleObject progId="Equation.3" shapeId="741190" r:id="rId14"/>
    <oleObject progId="Equation.3" shapeId="741928" r:id="rId15"/>
    <oleObject progId="Equation.3" shapeId="744478" r:id="rId16"/>
    <oleObject progId="Equation.3" shapeId="745383" r:id="rId17"/>
    <oleObject progId="Equation.3" shapeId="746758" r:id="rId18"/>
    <oleObject progId="Equation.3" shapeId="747677" r:id="rId19"/>
    <oleObject progId="Equation.3" shapeId="748420" r:id="rId20"/>
    <oleObject progId="Equation.3" shapeId="749699" r:id="rId21"/>
    <oleObject progId="Equation.3" shapeId="759574" r:id="rId22"/>
    <oleObject progId="Equation.3" shapeId="761598" r:id="rId23"/>
    <oleObject progId="Equation.3" shapeId="762637" r:id="rId24"/>
    <oleObject progId="Equation.3" shapeId="763874" r:id="rId25"/>
    <oleObject progId="Equation.3" shapeId="764955" r:id="rId26"/>
    <oleObject progId="Equation.3" shapeId="767159" r:id="rId27"/>
    <oleObject progId="Equation.3" shapeId="768575" r:id="rId28"/>
    <oleObject progId="Equation.3" shapeId="771833" r:id="rId29"/>
    <oleObject progId="Equation.3" shapeId="772850" r:id="rId30"/>
    <oleObject progId="Equation.3" shapeId="775569" r:id="rId31"/>
    <oleObject progId="Equation.3" shapeId="776439" r:id="rId32"/>
    <oleObject progId="Equation.3" shapeId="778568" r:id="rId33"/>
    <oleObject progId="Equation.3" shapeId="780127" r:id="rId34"/>
    <oleObject progId="Equation.3" shapeId="781148" r:id="rId35"/>
    <oleObject progId="Equation.3" shapeId="828045" r:id="rId36"/>
    <oleObject progId="Equation.3" shapeId="830051" r:id="rId37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J120">
      <selection activeCell="N109" sqref="N109"/>
    </sheetView>
  </sheetViews>
  <sheetFormatPr defaultColWidth="9.00390625" defaultRowHeight="12.75"/>
  <cols>
    <col min="1" max="1" width="18.375" style="0" customWidth="1"/>
    <col min="4" max="4" width="11.375" style="0" bestFit="1" customWidth="1"/>
    <col min="5" max="12" width="9.375" style="0" bestFit="1" customWidth="1"/>
  </cols>
  <sheetData>
    <row r="1" spans="1:12" ht="13.5" thickBot="1">
      <c r="A1" s="58" t="s">
        <v>43</v>
      </c>
      <c r="B1" s="77" t="s">
        <v>44</v>
      </c>
      <c r="C1" s="58" t="s">
        <v>45</v>
      </c>
      <c r="D1" s="58"/>
      <c r="E1" s="58"/>
      <c r="F1" s="58"/>
      <c r="G1" s="58"/>
      <c r="H1" s="58"/>
      <c r="I1" s="58"/>
      <c r="J1" s="60"/>
      <c r="K1" s="60"/>
      <c r="L1" s="60"/>
    </row>
    <row r="2" spans="1:12" ht="13.5" thickBot="1">
      <c r="A2" s="58"/>
      <c r="B2" s="77"/>
      <c r="C2" s="58"/>
      <c r="D2" s="21"/>
      <c r="E2" s="21"/>
      <c r="F2" s="21"/>
      <c r="G2" s="21"/>
      <c r="H2" s="21"/>
      <c r="I2" s="21"/>
      <c r="J2" s="17"/>
      <c r="K2" s="17"/>
      <c r="L2" s="17"/>
    </row>
    <row r="3" spans="1:12" ht="13.5" thickBot="1">
      <c r="A3" s="54" t="s">
        <v>89</v>
      </c>
      <c r="B3" s="21" t="s">
        <v>105</v>
      </c>
      <c r="C3" s="21"/>
      <c r="D3" s="55">
        <f>(1-0.025)*32*300000/1000</f>
        <v>9360</v>
      </c>
      <c r="E3" s="55">
        <f aca="true" t="shared" si="0" ref="E3:L3">(1-0.025)*32*300000/1000</f>
        <v>9360</v>
      </c>
      <c r="F3" s="55">
        <f t="shared" si="0"/>
        <v>9360</v>
      </c>
      <c r="G3" s="55">
        <f t="shared" si="0"/>
        <v>9360</v>
      </c>
      <c r="H3" s="55">
        <f t="shared" si="0"/>
        <v>9360</v>
      </c>
      <c r="I3" s="55">
        <f t="shared" si="0"/>
        <v>9360</v>
      </c>
      <c r="J3" s="55">
        <f t="shared" si="0"/>
        <v>9360</v>
      </c>
      <c r="K3" s="55">
        <f t="shared" si="0"/>
        <v>9360</v>
      </c>
      <c r="L3" s="55">
        <f t="shared" si="0"/>
        <v>9360</v>
      </c>
    </row>
    <row r="4" spans="1:12" ht="13.5" thickBot="1">
      <c r="A4" s="54" t="s">
        <v>90</v>
      </c>
      <c r="B4" s="21" t="s">
        <v>105</v>
      </c>
      <c r="C4" s="21"/>
      <c r="D4" s="55">
        <f>(Лист6!D29*Лист5!D3+Лист6!D30*Лист5!D4)*Лист5!D6*Лист5!D9/1000</f>
        <v>4776.350147657954</v>
      </c>
      <c r="E4" s="55">
        <f>(Лист6!E29*Лист5!E3+Лист6!E30*Лист5!E4)*Лист5!E6*Лист5!E9/1000</f>
        <v>4810.828869245943</v>
      </c>
      <c r="F4" s="55">
        <f>(Лист6!F29*Лист5!F3+Лист6!F30*Лист5!F4)*Лист5!F6*Лист5!F9/1000</f>
        <v>4909.368043588521</v>
      </c>
      <c r="G4" s="55">
        <f>(Лист6!G29*Лист5!G3+Лист6!G30*Лист5!G4)*Лист5!G6*Лист5!G9/1000</f>
        <v>4787.117916017365</v>
      </c>
      <c r="H4" s="55">
        <f>(Лист6!H29*Лист5!H3+Лист6!H30*Лист5!H4)*Лист5!H6*Лист5!H9/1000</f>
        <v>4824.604922755797</v>
      </c>
      <c r="I4" s="55">
        <f>(Лист6!I29*Лист5!I3+Лист6!I30*Лист5!I4)*Лист5!I6*Лист5!I9/1000</f>
        <v>4923.346725520851</v>
      </c>
      <c r="J4" s="55">
        <f>(Лист6!J29*Лист5!J3+Лист6!J30*Лист5!J4)*Лист5!J6*Лист5!J9/1000</f>
        <v>4781.9802880554635</v>
      </c>
      <c r="K4" s="55">
        <f>(Лист6!K29*Лист5!K3+Лист6!K30*Лист5!K4)*Лист5!K6*Лист5!K9/1000</f>
        <v>4821.919885415842</v>
      </c>
      <c r="L4" s="55">
        <f>(Лист6!L29*Лист5!L3+Лист6!L30*Лист5!L4)*Лист5!L6*Лист5!L9/1000</f>
        <v>4920.802889813331</v>
      </c>
    </row>
    <row r="5" spans="1:12" ht="13.5" thickBot="1">
      <c r="A5" s="54" t="s">
        <v>91</v>
      </c>
      <c r="B5" s="21" t="s">
        <v>105</v>
      </c>
      <c r="C5" s="21"/>
      <c r="D5" s="55">
        <f>D3-D4</f>
        <v>4583.649852342046</v>
      </c>
      <c r="E5" s="55">
        <f aca="true" t="shared" si="1" ref="E5:L5">E3-E4</f>
        <v>4549.171130754057</v>
      </c>
      <c r="F5" s="55">
        <f t="shared" si="1"/>
        <v>4450.631956411479</v>
      </c>
      <c r="G5" s="55">
        <f t="shared" si="1"/>
        <v>4572.882083982635</v>
      </c>
      <c r="H5" s="55">
        <f t="shared" si="1"/>
        <v>4535.395077244203</v>
      </c>
      <c r="I5" s="55">
        <f t="shared" si="1"/>
        <v>4436.653274479149</v>
      </c>
      <c r="J5" s="55">
        <f t="shared" si="1"/>
        <v>4578.0197119445365</v>
      </c>
      <c r="K5" s="55">
        <f t="shared" si="1"/>
        <v>4538.080114584158</v>
      </c>
      <c r="L5" s="55">
        <f t="shared" si="1"/>
        <v>4439.197110186669</v>
      </c>
    </row>
    <row r="6" spans="1:12" ht="24.75" thickBot="1">
      <c r="A6" s="54" t="s">
        <v>92</v>
      </c>
      <c r="B6" s="21" t="s">
        <v>105</v>
      </c>
      <c r="C6" s="21"/>
      <c r="D6" s="55">
        <f>(1-0.25)*D5</f>
        <v>3437.7373892565347</v>
      </c>
      <c r="E6" s="55">
        <f aca="true" t="shared" si="2" ref="E6:L6">(1-0.25)*E5</f>
        <v>3411.878348065543</v>
      </c>
      <c r="F6" s="55">
        <f t="shared" si="2"/>
        <v>3337.9739673086096</v>
      </c>
      <c r="G6" s="55">
        <f t="shared" si="2"/>
        <v>3429.661562986976</v>
      </c>
      <c r="H6" s="55">
        <f t="shared" si="2"/>
        <v>3401.546307933152</v>
      </c>
      <c r="I6" s="55">
        <f t="shared" si="2"/>
        <v>3327.489955859362</v>
      </c>
      <c r="J6" s="55">
        <f t="shared" si="2"/>
        <v>3433.5147839584024</v>
      </c>
      <c r="K6" s="55">
        <f t="shared" si="2"/>
        <v>3403.5600859381184</v>
      </c>
      <c r="L6" s="55">
        <f t="shared" si="2"/>
        <v>3329.397832640002</v>
      </c>
    </row>
    <row r="7" spans="1:12" ht="24.75" thickBot="1">
      <c r="A7" s="54" t="s">
        <v>93</v>
      </c>
      <c r="B7" s="21"/>
      <c r="C7" s="21"/>
      <c r="D7" s="56">
        <f>D5/D4</f>
        <v>0.9596553248068722</v>
      </c>
      <c r="E7" s="56">
        <f aca="true" t="shared" si="3" ref="E7:L7">E5/E4</f>
        <v>0.9456106742510468</v>
      </c>
      <c r="F7" s="56">
        <f t="shared" si="3"/>
        <v>0.9065590350725209</v>
      </c>
      <c r="G7" s="56">
        <f t="shared" si="3"/>
        <v>0.9552474294986735</v>
      </c>
      <c r="H7" s="56">
        <f t="shared" si="3"/>
        <v>0.9400552272896994</v>
      </c>
      <c r="I7" s="56">
        <f t="shared" si="3"/>
        <v>0.9011458103247414</v>
      </c>
      <c r="J7" s="56">
        <f t="shared" si="3"/>
        <v>0.9573480935041945</v>
      </c>
      <c r="K7" s="56">
        <f t="shared" si="3"/>
        <v>0.9411355274296089</v>
      </c>
      <c r="L7" s="56">
        <f t="shared" si="3"/>
        <v>0.9021286179489846</v>
      </c>
    </row>
    <row r="8" spans="1:12" ht="13.5" thickBot="1">
      <c r="A8" s="54" t="s">
        <v>94</v>
      </c>
      <c r="B8" s="21"/>
      <c r="C8" s="21"/>
      <c r="D8" s="56">
        <f>D3/D4</f>
        <v>1.9596553248068722</v>
      </c>
      <c r="E8" s="56">
        <f aca="true" t="shared" si="4" ref="E8:L8">E3/E4</f>
        <v>1.9456106742510468</v>
      </c>
      <c r="F8" s="56">
        <f t="shared" si="4"/>
        <v>1.906559035072521</v>
      </c>
      <c r="G8" s="56">
        <f t="shared" si="4"/>
        <v>1.9552474294986735</v>
      </c>
      <c r="H8" s="56">
        <f t="shared" si="4"/>
        <v>1.9400552272896994</v>
      </c>
      <c r="I8" s="56">
        <f t="shared" si="4"/>
        <v>1.9011458103247414</v>
      </c>
      <c r="J8" s="56">
        <f t="shared" si="4"/>
        <v>1.9573480935041945</v>
      </c>
      <c r="K8" s="56">
        <f t="shared" si="4"/>
        <v>1.941135527429609</v>
      </c>
      <c r="L8" s="56">
        <f t="shared" si="4"/>
        <v>1.9021286179489845</v>
      </c>
    </row>
    <row r="9" spans="1:12" ht="36.75" thickBot="1">
      <c r="A9" s="54" t="s">
        <v>95</v>
      </c>
      <c r="B9" s="21" t="s">
        <v>102</v>
      </c>
      <c r="C9" s="21"/>
      <c r="D9" s="56">
        <f>D5*1000/(D20*Лист5!D9*335)</f>
        <v>1.6237805988650553</v>
      </c>
      <c r="E9" s="56">
        <f>E5*1000/(E20*Лист5!E9*335)</f>
        <v>1.6990780266312642</v>
      </c>
      <c r="F9" s="56">
        <f>F5*1000/(F20*Лист5!F9*335)</f>
        <v>1.7330202707996885</v>
      </c>
      <c r="G9" s="56">
        <f>G5*1000/(G20*Лист5!G9*335)</f>
        <v>1.5256954013005517</v>
      </c>
      <c r="H9" s="56">
        <f>H5*1000/(H20*Лист5!H9*335)</f>
        <v>1.5903323106124654</v>
      </c>
      <c r="I9" s="56">
        <f>I5*1000/(I20*Лист5!I9*335)</f>
        <v>1.6177082019453461</v>
      </c>
      <c r="J9" s="56">
        <f>J5*1000/(J20*Лист5!J9*335)</f>
        <v>1.4434130055929613</v>
      </c>
      <c r="K9" s="56">
        <f>K5*1000/(K20*Лист5!K9*335)</f>
        <v>1.499561065346006</v>
      </c>
      <c r="L9" s="56">
        <f>L5*1000/(L20*Лист5!L9*335)</f>
        <v>1.5218504274934384</v>
      </c>
    </row>
    <row r="10" spans="1:12" ht="24.75" thickBot="1">
      <c r="A10" s="54" t="s">
        <v>96</v>
      </c>
      <c r="B10" s="21" t="s">
        <v>103</v>
      </c>
      <c r="C10" s="21"/>
      <c r="D10" s="56">
        <f>Лист6!D7*1000000/Лист5!D7</f>
        <v>51.6810691713294</v>
      </c>
      <c r="E10" s="56">
        <f>Лист6!E7*1000000/Лист5!E7</f>
        <v>50.16761990923883</v>
      </c>
      <c r="F10" s="56">
        <f>Лист6!F7*1000000/Лист5!F7</f>
        <v>49.03037288575465</v>
      </c>
      <c r="G10" s="56">
        <f>Лист6!G7*1000000/Лист5!G7</f>
        <v>54.8635361930662</v>
      </c>
      <c r="H10" s="56">
        <f>Лист6!H7*1000000/Лист5!H7</f>
        <v>53.36374698937568</v>
      </c>
      <c r="I10" s="56">
        <f>Лист6!I7*1000000/Лист5!I7</f>
        <v>52.24207243279019</v>
      </c>
      <c r="J10" s="56">
        <f>Лист6!J7*1000000/Лист5!J7</f>
        <v>58.04164611477136</v>
      </c>
      <c r="K10" s="56">
        <f>Лист6!K7*1000000/Лист5!K7</f>
        <v>56.55710795311901</v>
      </c>
      <c r="L10" s="56">
        <f>Лист6!L7*1000000/Лист5!L7</f>
        <v>55.45171724189454</v>
      </c>
    </row>
    <row r="11" spans="1:12" ht="24.75" thickBot="1">
      <c r="A11" s="54" t="s">
        <v>97</v>
      </c>
      <c r="B11" s="21" t="s">
        <v>103</v>
      </c>
      <c r="C11" s="21"/>
      <c r="D11" s="56">
        <f>D4*1000/(Лист5!D7*Лист5!D9)</f>
        <v>15.921167158859847</v>
      </c>
      <c r="E11" s="56">
        <f>E4*1000/(Лист5!E7*Лист5!E9)</f>
        <v>16.03609623081981</v>
      </c>
      <c r="F11" s="56">
        <f>F4*1000/(Лист5!F7*Лист5!F9)</f>
        <v>16.36456014529507</v>
      </c>
      <c r="G11" s="56">
        <f>G4*1000/(Лист5!G7*Лист5!G9)</f>
        <v>15.957059720057883</v>
      </c>
      <c r="H11" s="56">
        <f>H4*1000/(Лист5!H7*Лист5!H9)</f>
        <v>16.08201640918599</v>
      </c>
      <c r="I11" s="56">
        <f>I4*1000/(Лист5!I7*Лист5!I9)</f>
        <v>16.41115575173617</v>
      </c>
      <c r="J11" s="56">
        <f>J4*1000/(Лист5!J7*Лист5!J9)</f>
        <v>15.939934293518212</v>
      </c>
      <c r="K11" s="56">
        <f>K4*1000/(Лист5!K7*Лист5!K9)</f>
        <v>16.073066284719474</v>
      </c>
      <c r="L11" s="56">
        <f>L4*1000/(Лист5!L7*Лист5!L9)</f>
        <v>16.40267629937777</v>
      </c>
    </row>
    <row r="12" spans="1:12" ht="13.5" thickBot="1">
      <c r="A12" s="54" t="s">
        <v>98</v>
      </c>
      <c r="B12" s="21" t="s">
        <v>103</v>
      </c>
      <c r="C12" s="21"/>
      <c r="D12" s="56">
        <f>400*(Лист5!D3+0.5*Лист5!D4)/365</f>
        <v>11.15638384481965</v>
      </c>
      <c r="E12" s="55">
        <f>400*(Лист5!E3+0.5*Лист5!E4)/365</f>
        <v>10.360465691697907</v>
      </c>
      <c r="F12" s="55">
        <f>400*(Лист5!F3+0.5*Лист5!F4)/365</f>
        <v>9.762126199877075</v>
      </c>
      <c r="G12" s="55">
        <f>400*(Лист5!G3+0.5*Лист5!G4)/365</f>
        <v>11.633797033733318</v>
      </c>
      <c r="H12" s="55">
        <f>400*(Лист5!H3+0.5*Лист5!H4)/365</f>
        <v>10.837878880611575</v>
      </c>
      <c r="I12" s="55">
        <f>400*(Лист5!I3+0.5*Лист5!I4)/365</f>
        <v>10.239539388790742</v>
      </c>
      <c r="J12" s="55">
        <f>400*(Лист5!J3+0.5*Лист5!J4)/365</f>
        <v>12.111210222646985</v>
      </c>
      <c r="K12" s="55">
        <f>400*(Лист5!K3+0.5*Лист5!K4)/365</f>
        <v>11.315292069525244</v>
      </c>
      <c r="L12" s="55">
        <f>400*(Лист5!L3+0.5*Лист5!L4)/365</f>
        <v>10.71695257770441</v>
      </c>
    </row>
    <row r="13" spans="1:12" ht="24.75" thickBot="1">
      <c r="A13" s="54" t="s">
        <v>99</v>
      </c>
      <c r="B13" s="21" t="s">
        <v>103</v>
      </c>
      <c r="C13" s="21"/>
      <c r="D13" s="56">
        <f>D11+0.12*D10+0.15*D12</f>
        <v>23.79635303614232</v>
      </c>
      <c r="E13" s="56">
        <f aca="true" t="shared" si="5" ref="E13:L13">E11+0.12*E10+0.15*E12</f>
        <v>23.610280473683154</v>
      </c>
      <c r="F13" s="56">
        <f t="shared" si="5"/>
        <v>23.71252382156719</v>
      </c>
      <c r="G13" s="56">
        <f t="shared" si="5"/>
        <v>24.285753618285824</v>
      </c>
      <c r="H13" s="56">
        <f t="shared" si="5"/>
        <v>24.111347880002807</v>
      </c>
      <c r="I13" s="56">
        <f t="shared" si="5"/>
        <v>24.216135351989607</v>
      </c>
      <c r="J13" s="56">
        <f t="shared" si="5"/>
        <v>24.721613360687822</v>
      </c>
      <c r="K13" s="56">
        <f t="shared" si="5"/>
        <v>24.55721304952254</v>
      </c>
      <c r="L13" s="56">
        <f t="shared" si="5"/>
        <v>24.664425255060777</v>
      </c>
    </row>
    <row r="14" spans="1:12" ht="13.5" thickBot="1">
      <c r="A14" s="54" t="s">
        <v>100</v>
      </c>
      <c r="B14" s="21" t="s">
        <v>104</v>
      </c>
      <c r="C14" s="21"/>
      <c r="D14" s="56">
        <f>Лист6!D7*1000000*Лист5!D9/(Лист7!D3*1000-(Лист7!D4*1000-Лист6!D9*Лист5!D9*335))</f>
        <v>2.827758934534276</v>
      </c>
      <c r="E14" s="56">
        <f>Лист6!E7*1000000*Лист5!E9/(Лист7!E3*1000-(Лист7!E4*1000-Лист6!E9*Лист5!E9*335))</f>
        <v>2.7757363506124952</v>
      </c>
      <c r="F14" s="56">
        <f>Лист6!F7*1000000*Лист5!F9/(Лист7!F3*1000-(Лист7!F4*1000-Лист6!F9*Лист5!F9*335))</f>
        <v>2.7733363939234725</v>
      </c>
      <c r="G14" s="56">
        <f>Лист6!G7*1000000*Лист5!G9/(Лист7!G3*1000-(Лист7!G4*1000-Лист6!G9*Лист5!G9*335))</f>
        <v>2.9776640772055813</v>
      </c>
      <c r="H14" s="56">
        <f>Лист6!H7*1000000*Лист5!H9/(Лист7!H3*1000-(Лист7!H4*1000-Лист6!H9*Лист5!H9*335))</f>
        <v>2.9299681495356795</v>
      </c>
      <c r="I14" s="56">
        <f>Лист6!I7*1000000*Лист5!I9/(Лист7!I3*1000-(Лист7!I4*1000-Лист6!I9*Лист5!I9*335))</f>
        <v>2.931837432429726</v>
      </c>
      <c r="J14" s="56">
        <f>Лист6!J7*1000000*Лист5!J9/(Лист7!J3*1000-(Лист7!J4*1000-Лист6!J9*Лист5!J9*335))</f>
        <v>3.116082181617066</v>
      </c>
      <c r="K14" s="56">
        <f>Лист6!K7*1000000*Лист5!K9/(Лист7!K3*1000-(Лист7!K4*1000-Лист6!K9*Лист5!K9*335))</f>
        <v>3.072545889001271</v>
      </c>
      <c r="L14" s="56">
        <f>Лист6!L7*1000000*Лист5!L9/(Лист7!L3*1000-(Лист7!L4*1000-Лист6!L9*Лист5!L9*335))</f>
        <v>3.0783382193691735</v>
      </c>
    </row>
    <row r="15" spans="1:12" ht="24.75" thickBot="1">
      <c r="A15" s="54" t="s">
        <v>101</v>
      </c>
      <c r="B15" s="21" t="s">
        <v>103</v>
      </c>
      <c r="C15" s="21"/>
      <c r="D15" s="56">
        <f>32-D13</f>
        <v>8.203646963857679</v>
      </c>
      <c r="E15" s="57">
        <f aca="true" t="shared" si="6" ref="E15:L15">32-E13</f>
        <v>8.389719526316846</v>
      </c>
      <c r="F15" s="57">
        <f t="shared" si="6"/>
        <v>8.287476178432811</v>
      </c>
      <c r="G15" s="57">
        <f t="shared" si="6"/>
        <v>7.714246381714176</v>
      </c>
      <c r="H15" s="57">
        <f t="shared" si="6"/>
        <v>7.888652119997193</v>
      </c>
      <c r="I15" s="57">
        <f t="shared" si="6"/>
        <v>7.783864648010393</v>
      </c>
      <c r="J15" s="57">
        <f t="shared" si="6"/>
        <v>7.278386639312178</v>
      </c>
      <c r="K15" s="57">
        <f t="shared" si="6"/>
        <v>7.442786950477458</v>
      </c>
      <c r="L15" s="57">
        <f t="shared" si="6"/>
        <v>7.335574744939223</v>
      </c>
    </row>
    <row r="16" spans="1:12" ht="24.75" thickBot="1">
      <c r="A16" s="54" t="s">
        <v>114</v>
      </c>
      <c r="B16" s="21"/>
      <c r="C16" s="21"/>
      <c r="D16" s="57">
        <f>D5*1000/(Лист6!D7*1000000*Лист5!D9)</f>
        <v>0.29563693410615893</v>
      </c>
      <c r="E16" s="57">
        <f>E5*1000/(Лист6!E7*1000000*Лист5!E9)</f>
        <v>0.30226476353899373</v>
      </c>
      <c r="F16" s="57">
        <f>F5*1000/(Лист6!F7*1000000*Лист5!F9)</f>
        <v>0.3025765251525394</v>
      </c>
      <c r="G16" s="57">
        <f>G5*1000/(Лист6!G7*1000000*Лист5!G9)</f>
        <v>0.2778337186706635</v>
      </c>
      <c r="H16" s="57">
        <f>H5*1000/(Лист6!H7*1000000*Лист5!H9)</f>
        <v>0.28330063842450737</v>
      </c>
      <c r="I16" s="57">
        <f>I5*1000/(Лист6!I7*1000000*Лист5!I9)</f>
        <v>0.2830830317325138</v>
      </c>
      <c r="J16" s="57">
        <f>J5*1000/(Лист6!J7*1000000*Лист5!J9)</f>
        <v>0.26291579801693743</v>
      </c>
      <c r="K16" s="57">
        <f>K5*1000/(Лист6!K7*1000000*Лист5!K9)</f>
        <v>0.26746299913035615</v>
      </c>
      <c r="L16" s="57">
        <f>L5*1000/(Лист6!L7*1000000*Лист5!L9)</f>
        <v>0.2668505942939969</v>
      </c>
    </row>
    <row r="18" spans="4:12" ht="12.75">
      <c r="D18">
        <v>5300</v>
      </c>
      <c r="E18">
        <v>5300</v>
      </c>
      <c r="F18">
        <v>5300</v>
      </c>
      <c r="G18">
        <v>5900</v>
      </c>
      <c r="H18">
        <v>5900</v>
      </c>
      <c r="I18">
        <v>5900</v>
      </c>
      <c r="J18">
        <v>6500</v>
      </c>
      <c r="K18">
        <v>6500</v>
      </c>
      <c r="L18">
        <v>6500</v>
      </c>
    </row>
    <row r="19" spans="4:12" ht="12.75">
      <c r="D19">
        <v>12</v>
      </c>
      <c r="E19">
        <v>14</v>
      </c>
      <c r="F19">
        <v>16</v>
      </c>
      <c r="G19">
        <v>12</v>
      </c>
      <c r="H19">
        <v>14</v>
      </c>
      <c r="I19">
        <v>16</v>
      </c>
      <c r="J19">
        <v>12</v>
      </c>
      <c r="K19">
        <v>14</v>
      </c>
      <c r="L19">
        <v>16</v>
      </c>
    </row>
    <row r="20" spans="4:12" ht="12.75">
      <c r="D20">
        <v>4500</v>
      </c>
      <c r="E20">
        <v>4500</v>
      </c>
      <c r="F20">
        <v>4500</v>
      </c>
      <c r="G20">
        <v>5000</v>
      </c>
      <c r="H20">
        <v>5000</v>
      </c>
      <c r="I20">
        <v>5000</v>
      </c>
      <c r="J20">
        <v>5500</v>
      </c>
      <c r="K20">
        <v>5500</v>
      </c>
      <c r="L20">
        <v>5500</v>
      </c>
    </row>
  </sheetData>
  <mergeCells count="6">
    <mergeCell ref="G1:I1"/>
    <mergeCell ref="J1:L1"/>
    <mergeCell ref="A1:A2"/>
    <mergeCell ref="B1:B2"/>
    <mergeCell ref="C1:C2"/>
    <mergeCell ref="D1:F1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Шпирна</dc:creator>
  <cp:keywords/>
  <dc:description/>
  <cp:lastModifiedBy>Александр Шпирна</cp:lastModifiedBy>
  <cp:lastPrinted>2002-03-19T22:14:36Z</cp:lastPrinted>
  <dcterms:created xsi:type="dcterms:W3CDTF">2002-02-16T11:28:50Z</dcterms:created>
  <dcterms:modified xsi:type="dcterms:W3CDTF">2002-03-19T22:14:49Z</dcterms:modified>
  <cp:category/>
  <cp:version/>
  <cp:contentType/>
  <cp:contentStatus/>
</cp:coreProperties>
</file>