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25" windowHeight="8640" tabRatio="792" activeTab="5"/>
  </bookViews>
  <sheets>
    <sheet name="Табл. №1" sheetId="1" r:id="rId1"/>
    <sheet name="Табл. №2" sheetId="2" r:id="rId2"/>
    <sheet name="Табл. №3" sheetId="3" r:id="rId3"/>
    <sheet name="Табл. №4" sheetId="4" r:id="rId4"/>
    <sheet name="Табл. №5" sheetId="5" r:id="rId5"/>
    <sheet name="Табл. №6" sheetId="6" r:id="rId6"/>
    <sheet name="Табл. №7" sheetId="7" r:id="rId7"/>
    <sheet name="Табл. № 8" sheetId="8" r:id="rId8"/>
    <sheet name="Табл. №9" sheetId="9" r:id="rId9"/>
    <sheet name="Табл. №10" sheetId="10" r:id="rId10"/>
    <sheet name="Плата за тр. ср-во" sheetId="11" r:id="rId11"/>
    <sheet name="Целесообразность" sheetId="12" r:id="rId12"/>
  </sheets>
  <definedNames>
    <definedName name="_xlnm.Print_Area" localSheetId="10">'Плата за тр. ср-во'!$A$1:$N$19</definedName>
    <definedName name="_xlnm.Print_Area" localSheetId="7">'Табл. № 8'!$A$1:$E$17</definedName>
    <definedName name="_xlnm.Print_Area" localSheetId="0">'Табл. №1'!$A$1:$K$27</definedName>
    <definedName name="_xlnm.Print_Area" localSheetId="9">'Табл. №10'!$A$1:$L$19</definedName>
    <definedName name="_xlnm.Print_Area" localSheetId="1">'Табл. №2'!$A$1:$F$23</definedName>
    <definedName name="_xlnm.Print_Area" localSheetId="2">'Табл. №3'!$A$1:$F$16</definedName>
    <definedName name="_xlnm.Print_Area" localSheetId="3">'Табл. №4'!$A$1:$L$20</definedName>
    <definedName name="_xlnm.Print_Area" localSheetId="4">'Табл. №5'!$A$1:$E$13</definedName>
    <definedName name="_xlnm.Print_Area" localSheetId="5">'Табл. №6'!$A$1:$L$17</definedName>
    <definedName name="_xlnm.Print_Area" localSheetId="6">'Табл. №7'!$A$1:$K$19</definedName>
    <definedName name="_xlnm.Print_Area" localSheetId="8">'Табл. №9'!$A$1:$L$20</definedName>
    <definedName name="_xlnm.Print_Area" localSheetId="11">'Целесообразность'!$A$1:$K$26</definedName>
  </definedNames>
  <calcPr fullCalcOnLoad="1"/>
</workbook>
</file>

<file path=xl/sharedStrings.xml><?xml version="1.0" encoding="utf-8"?>
<sst xmlns="http://schemas.openxmlformats.org/spreadsheetml/2006/main" count="257" uniqueCount="122">
  <si>
    <t>Экономическая оценка годового ущерба от сбросов</t>
  </si>
  <si>
    <t>Таблица  № 1</t>
  </si>
  <si>
    <t>№</t>
  </si>
  <si>
    <t>Вещества
загрязнители</t>
  </si>
  <si>
    <t>Производственные стоки</t>
  </si>
  <si>
    <t>Бытовые стоки</t>
  </si>
  <si>
    <t>Годовой сброс
т/год</t>
  </si>
  <si>
    <t>Относительная
опасность
сброса
ТУВ/год</t>
  </si>
  <si>
    <t>Приведённая
масса
сброса
ТУВ/год</t>
  </si>
  <si>
    <r>
      <t>концентрация
г/м</t>
    </r>
    <r>
      <rPr>
        <b/>
        <vertAlign val="superscript"/>
        <sz val="12"/>
        <rFont val="Times New Roman Cyr"/>
        <family val="1"/>
      </rPr>
      <t>3</t>
    </r>
  </si>
  <si>
    <r>
      <t>объём
м</t>
    </r>
    <r>
      <rPr>
        <b/>
        <vertAlign val="superscript"/>
        <sz val="12"/>
        <rFont val="Times New Roman Cyr"/>
        <family val="1"/>
      </rPr>
      <t>3</t>
    </r>
    <r>
      <rPr>
        <b/>
        <sz val="12"/>
        <rFont val="Times New Roman Cyr"/>
        <family val="1"/>
      </rPr>
      <t>/год</t>
    </r>
  </si>
  <si>
    <t>масса
стоков
т/год</t>
  </si>
  <si>
    <t>БПК полн.</t>
  </si>
  <si>
    <t>Нефтепродукты</t>
  </si>
  <si>
    <t>Взвешен. в-ва</t>
  </si>
  <si>
    <t>Сухой остаток</t>
  </si>
  <si>
    <t>Сульфаты</t>
  </si>
  <si>
    <t>Хлориды</t>
  </si>
  <si>
    <t>Фосфор общий</t>
  </si>
  <si>
    <t>Азот общий</t>
  </si>
  <si>
    <t>Азот аммонийный</t>
  </si>
  <si>
    <t>Железо общее</t>
  </si>
  <si>
    <t>Итого</t>
  </si>
  <si>
    <t>Экономическая оценка годового ущерба от выбросов</t>
  </si>
  <si>
    <t>Таблица № 2</t>
  </si>
  <si>
    <t>Годовой выброс
вещества
т/год</t>
  </si>
  <si>
    <t>Относительная опасность
выброса
ТУСЛ/т</t>
  </si>
  <si>
    <t>Приведённая
масса
выбросов
ТУВ/год</t>
  </si>
  <si>
    <t>Пыль неорганическая</t>
  </si>
  <si>
    <t>Сернистый ангидрид</t>
  </si>
  <si>
    <t>Сажа</t>
  </si>
  <si>
    <t>Зола углей</t>
  </si>
  <si>
    <t>Каменноугольная пыль</t>
  </si>
  <si>
    <t>Пыль органическая</t>
  </si>
  <si>
    <t>Окислы азота</t>
  </si>
  <si>
    <t>Таблица № 3  Расчёт ПДС</t>
  </si>
  <si>
    <t>Вещества загрязнители</t>
  </si>
  <si>
    <r>
      <t>ПДК
г/м</t>
    </r>
    <r>
      <rPr>
        <b/>
        <vertAlign val="superscript"/>
        <sz val="12"/>
        <rFont val="Times New Roman Cyr"/>
        <family val="1"/>
      </rPr>
      <t>3</t>
    </r>
  </si>
  <si>
    <r>
      <t>Объём сточных вод
млн. м</t>
    </r>
    <r>
      <rPr>
        <b/>
        <vertAlign val="superscript"/>
        <sz val="12"/>
        <rFont val="Times New Roman Cyr"/>
        <family val="1"/>
      </rPr>
      <t>3</t>
    </r>
    <r>
      <rPr>
        <b/>
        <sz val="12"/>
        <rFont val="Times New Roman Cyr"/>
        <family val="1"/>
      </rPr>
      <t>/год</t>
    </r>
  </si>
  <si>
    <t>ПДС за год
т/год</t>
  </si>
  <si>
    <t>Таблица № 4</t>
  </si>
  <si>
    <t>Вещ-ва
загряз-ли</t>
  </si>
  <si>
    <t>Факт.
сброс
за год
т/год</t>
  </si>
  <si>
    <t>ПДС
т/год</t>
  </si>
  <si>
    <t>ВСС
т/год</t>
  </si>
  <si>
    <t>Превышение</t>
  </si>
  <si>
    <t>Норма платы
руб/т</t>
  </si>
  <si>
    <t>Сумма платы за</t>
  </si>
  <si>
    <t>Всего
плата</t>
  </si>
  <si>
    <t>ВСС над
ПДС</t>
  </si>
  <si>
    <t>Факт. над
ВСС</t>
  </si>
  <si>
    <t>руб/т
ПДС</t>
  </si>
  <si>
    <t>Превыш.
ВСС над
ПДС</t>
  </si>
  <si>
    <t>Превыш.
ВСС</t>
  </si>
  <si>
    <t>Нефтепрод.</t>
  </si>
  <si>
    <t>Взвеш. в-ва</t>
  </si>
  <si>
    <t>Сух. остаток</t>
  </si>
  <si>
    <t>Фосфор общ.</t>
  </si>
  <si>
    <t>Азот аммон.</t>
  </si>
  <si>
    <t>Железо общ.</t>
  </si>
  <si>
    <t>Расчёт уровня платежа за загрязнение атмосферы</t>
  </si>
  <si>
    <t>а) от стационарных источников</t>
  </si>
  <si>
    <t>Таблица № 5 Расчёт ПДВ</t>
  </si>
  <si>
    <t>Годовой выброс
по веществам
т/год</t>
  </si>
  <si>
    <t>ПДВ за год
т/год</t>
  </si>
  <si>
    <r>
      <t>ПДК
мг/м</t>
    </r>
    <r>
      <rPr>
        <b/>
        <vertAlign val="superscript"/>
        <sz val="12"/>
        <rFont val="Times New Roman Cyr"/>
        <family val="1"/>
      </rPr>
      <t>3</t>
    </r>
  </si>
  <si>
    <t>Таблица № 6</t>
  </si>
  <si>
    <t>ПДВ
т/год</t>
  </si>
  <si>
    <t>ВСВ
т/год</t>
  </si>
  <si>
    <t>Всего
плата
руб/год</t>
  </si>
  <si>
    <t>ВСВ над
ПДВ</t>
  </si>
  <si>
    <t>Факт. над
ВСВ</t>
  </si>
  <si>
    <t>руб/год
ПДВ</t>
  </si>
  <si>
    <t>Превыш.
ВСВ над
ПДВ</t>
  </si>
  <si>
    <t>Превыш.
ВСВ</t>
  </si>
  <si>
    <t xml:space="preserve"> Таблица № 7 Ущерб от сбросов</t>
  </si>
  <si>
    <t>Пл тр. ср. = Пг*Кт*Кс*Кп, где</t>
  </si>
  <si>
    <t>Пг - годовая плата за одно транспортное средство</t>
  </si>
  <si>
    <t>Кт - количество однотипных транспортных средств</t>
  </si>
  <si>
    <t>Кп - поправочный коэффициент (10)</t>
  </si>
  <si>
    <t>Расчёт платы за сбросы</t>
  </si>
  <si>
    <t>Расчёт платы за выбросы от стационарных источников</t>
  </si>
  <si>
    <t>б) от передвижных источников</t>
  </si>
  <si>
    <t>Легковые
автомобили</t>
  </si>
  <si>
    <t>Грузов. автом. и
автобусы с бенз. ДВС</t>
  </si>
  <si>
    <t>Грузов. автом. и
автобусы с диз. ДВС</t>
  </si>
  <si>
    <t>Строительно-дорож.
Машины</t>
  </si>
  <si>
    <t>Грузовой тепловоз</t>
  </si>
  <si>
    <t>Маневровый тепловоз</t>
  </si>
  <si>
    <t>Вспомогательный флот</t>
  </si>
  <si>
    <t>Плата</t>
  </si>
  <si>
    <t>Плата=</t>
  </si>
  <si>
    <t>Кс - коэффициент экологической ситуации (1,2)</t>
  </si>
  <si>
    <t>Общая плата пред-ия  = Пл за загр-ие воды +Пл за загр-ие атмосф. от стационар. источ. +</t>
  </si>
  <si>
    <t>Пл за загр-ие амосф. от передвиж. источ.</t>
  </si>
  <si>
    <t>Кол-во</t>
  </si>
  <si>
    <t>Поправочный коэффициент</t>
  </si>
  <si>
    <t>Факт.
выброс
за год
т/год</t>
  </si>
  <si>
    <t>Ущерб от выбросов (новый)</t>
  </si>
  <si>
    <t>Таблица № 8</t>
  </si>
  <si>
    <t>Ув</t>
  </si>
  <si>
    <t>Об. Плата</t>
  </si>
  <si>
    <t>Таблица № 9</t>
  </si>
  <si>
    <t>Таблица № 10</t>
  </si>
  <si>
    <t>Плата общая (новая)</t>
  </si>
  <si>
    <t>Сокращение</t>
  </si>
  <si>
    <t>5. Оценка целесообразности проведённых мероприятий</t>
  </si>
  <si>
    <t xml:space="preserve">Сокращенный уровень общего ущерба </t>
  </si>
  <si>
    <t>К - капитальные вложения</t>
  </si>
  <si>
    <t xml:space="preserve">С - текущие издержки </t>
  </si>
  <si>
    <t>Ен - нормативный коэффициент использования капитальных вложений (0,12)</t>
  </si>
  <si>
    <t>Приравняв показатель экономической целесообразности к 1, определим уровень капитальных
вложений, при котором проведение природоохранных мероприятий будет целесообразным.</t>
  </si>
  <si>
    <t xml:space="preserve">Сокращ. уровень = </t>
  </si>
  <si>
    <t xml:space="preserve">К = </t>
  </si>
  <si>
    <t>С =</t>
  </si>
  <si>
    <t xml:space="preserve">Ен = </t>
  </si>
  <si>
    <t>Так как Э &lt; 1 (0,00141 &lt; 1), то  проведённые мероприятия нецелесообразны.</t>
  </si>
  <si>
    <t>ПДС
руб/т</t>
  </si>
  <si>
    <t>6. Расчёт новой платы ТЭЦ за загрязнение окружающей среды</t>
  </si>
  <si>
    <t>Расчёт платы за сбросы (новый)</t>
  </si>
  <si>
    <t>2. Расчёт ущерба, наносимого окружающей среде ТЭЦ</t>
  </si>
  <si>
    <t>3. Расчёт платы ТЭЦ за ущерб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</si>
</sst>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vertAlign val="superscript"/>
      <sz val="12"/>
      <name val="Times New Roman Cyr"/>
      <family val="1"/>
    </font>
    <font>
      <b/>
      <sz val="16"/>
      <name val="Times New Roman Cyr"/>
      <family val="1"/>
    </font>
    <font>
      <b/>
      <sz val="11.7"/>
      <name val="Times New Roman Cyr"/>
      <family val="1"/>
    </font>
    <font>
      <b/>
      <sz val="20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6"/>
      <name val="Times New Roman Cyr"/>
      <family val="1"/>
    </font>
    <font>
      <b/>
      <i/>
      <u val="single"/>
      <sz val="18"/>
      <name val="Times New Roman Cyr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0" fontId="1" fillId="0" borderId="9" xfId="0" applyFont="1" applyBorder="1" applyAlignment="1">
      <alignment textRotation="90" wrapText="1"/>
    </xf>
    <xf numFmtId="0" fontId="1" fillId="0" borderId="9" xfId="0" applyFont="1" applyBorder="1" applyAlignment="1">
      <alignment textRotation="9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22.625" style="1" customWidth="1"/>
    <col min="3" max="3" width="10.625" style="1" customWidth="1"/>
    <col min="4" max="4" width="10.375" style="1" customWidth="1"/>
    <col min="5" max="5" width="11.50390625" style="1" customWidth="1"/>
    <col min="6" max="6" width="10.00390625" style="1" customWidth="1"/>
    <col min="7" max="7" width="11.125" style="1" customWidth="1"/>
    <col min="8" max="8" width="11.50390625" style="1" customWidth="1"/>
    <col min="9" max="9" width="12.875" style="1" customWidth="1"/>
    <col min="10" max="10" width="20.50390625" style="1" customWidth="1"/>
    <col min="11" max="11" width="17.125" style="1" customWidth="1"/>
    <col min="12" max="16384" width="9.375" style="1" customWidth="1"/>
  </cols>
  <sheetData>
    <row r="1" spans="1:11" ht="23.25">
      <c r="A1" s="40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20.25">
      <c r="A2" s="38" t="s">
        <v>0</v>
      </c>
    </row>
    <row r="3" ht="15"/>
    <row r="4" ht="15"/>
    <row r="5" ht="15"/>
    <row r="6" ht="15"/>
    <row r="7" ht="15"/>
    <row r="8" ht="15"/>
    <row r="9" ht="15"/>
    <row r="10" ht="16.5" thickBot="1">
      <c r="A10" s="1" t="s">
        <v>1</v>
      </c>
    </row>
    <row r="11" spans="1:11" ht="15.75">
      <c r="A11" s="45" t="s">
        <v>2</v>
      </c>
      <c r="B11" s="41" t="s">
        <v>3</v>
      </c>
      <c r="C11" s="47" t="s">
        <v>4</v>
      </c>
      <c r="D11" s="47"/>
      <c r="E11" s="47"/>
      <c r="F11" s="47" t="s">
        <v>5</v>
      </c>
      <c r="G11" s="47"/>
      <c r="H11" s="47"/>
      <c r="I11" s="41" t="s">
        <v>6</v>
      </c>
      <c r="J11" s="41" t="s">
        <v>7</v>
      </c>
      <c r="K11" s="43" t="s">
        <v>8</v>
      </c>
    </row>
    <row r="12" spans="1:11" ht="51" thickBot="1">
      <c r="A12" s="46"/>
      <c r="B12" s="42"/>
      <c r="C12" s="2" t="s">
        <v>9</v>
      </c>
      <c r="D12" s="2" t="s">
        <v>10</v>
      </c>
      <c r="E12" s="2" t="s">
        <v>11</v>
      </c>
      <c r="F12" s="2" t="s">
        <v>9</v>
      </c>
      <c r="G12" s="2" t="s">
        <v>10</v>
      </c>
      <c r="H12" s="2" t="s">
        <v>11</v>
      </c>
      <c r="I12" s="42"/>
      <c r="J12" s="42"/>
      <c r="K12" s="44"/>
    </row>
    <row r="13" spans="1:11" ht="16.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5">
        <v>11</v>
      </c>
    </row>
    <row r="14" spans="1:11" ht="15.75">
      <c r="A14" s="6">
        <v>1</v>
      </c>
      <c r="B14" s="7" t="s">
        <v>12</v>
      </c>
      <c r="C14" s="7">
        <v>6</v>
      </c>
      <c r="D14" s="7">
        <v>3</v>
      </c>
      <c r="E14" s="7">
        <f aca="true" t="shared" si="0" ref="E14:E21">C14*D14</f>
        <v>18</v>
      </c>
      <c r="F14" s="7">
        <v>4</v>
      </c>
      <c r="G14" s="7">
        <v>1</v>
      </c>
      <c r="H14" s="7">
        <f aca="true" t="shared" si="1" ref="H14:H21">F14*G14</f>
        <v>4</v>
      </c>
      <c r="I14" s="7">
        <f aca="true" t="shared" si="2" ref="I14:I21">E14+H14</f>
        <v>22</v>
      </c>
      <c r="J14" s="7">
        <v>0.33</v>
      </c>
      <c r="K14" s="8">
        <f aca="true" t="shared" si="3" ref="K14:K21">I14*J14</f>
        <v>7.260000000000001</v>
      </c>
    </row>
    <row r="15" spans="1:11" ht="15.75">
      <c r="A15" s="9">
        <v>2</v>
      </c>
      <c r="B15" s="10" t="s">
        <v>13</v>
      </c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>
      <c r="A16" s="9">
        <v>3</v>
      </c>
      <c r="B16" s="10" t="s">
        <v>14</v>
      </c>
      <c r="C16" s="10">
        <v>21</v>
      </c>
      <c r="D16" s="10">
        <v>15</v>
      </c>
      <c r="E16" s="10">
        <f t="shared" si="0"/>
        <v>315</v>
      </c>
      <c r="F16" s="10">
        <v>18</v>
      </c>
      <c r="G16" s="10">
        <v>3</v>
      </c>
      <c r="H16" s="10">
        <f t="shared" si="1"/>
        <v>54</v>
      </c>
      <c r="I16" s="10">
        <f t="shared" si="2"/>
        <v>369</v>
      </c>
      <c r="J16" s="10">
        <v>0.05</v>
      </c>
      <c r="K16" s="11">
        <f t="shared" si="3"/>
        <v>18.45</v>
      </c>
    </row>
    <row r="17" spans="1:11" ht="15.75">
      <c r="A17" s="9">
        <v>4</v>
      </c>
      <c r="B17" s="10" t="s">
        <v>15</v>
      </c>
      <c r="C17" s="10">
        <v>370</v>
      </c>
      <c r="D17" s="10">
        <v>699</v>
      </c>
      <c r="E17" s="10">
        <f t="shared" si="0"/>
        <v>258630</v>
      </c>
      <c r="F17" s="10">
        <v>364</v>
      </c>
      <c r="G17" s="10">
        <v>113</v>
      </c>
      <c r="H17" s="10">
        <f t="shared" si="1"/>
        <v>41132</v>
      </c>
      <c r="I17" s="10">
        <f t="shared" si="2"/>
        <v>299762</v>
      </c>
      <c r="J17" s="10">
        <v>0.0006</v>
      </c>
      <c r="K17" s="11">
        <f t="shared" si="3"/>
        <v>179.85719999999998</v>
      </c>
    </row>
    <row r="18" spans="1:11" ht="15.75">
      <c r="A18" s="9">
        <v>5</v>
      </c>
      <c r="B18" s="10" t="s">
        <v>16</v>
      </c>
      <c r="C18" s="10">
        <v>80</v>
      </c>
      <c r="D18" s="10">
        <v>126</v>
      </c>
      <c r="E18" s="10">
        <f t="shared" si="0"/>
        <v>10080</v>
      </c>
      <c r="F18" s="10">
        <v>78</v>
      </c>
      <c r="G18" s="10">
        <v>52</v>
      </c>
      <c r="H18" s="10">
        <f t="shared" si="1"/>
        <v>4056</v>
      </c>
      <c r="I18" s="10">
        <f t="shared" si="2"/>
        <v>14136</v>
      </c>
      <c r="J18" s="10">
        <v>0.002</v>
      </c>
      <c r="K18" s="11">
        <f t="shared" si="3"/>
        <v>28.272000000000002</v>
      </c>
    </row>
    <row r="19" spans="1:11" ht="15.75">
      <c r="A19" s="9">
        <v>6</v>
      </c>
      <c r="B19" s="10" t="s">
        <v>17</v>
      </c>
      <c r="C19" s="10">
        <v>71</v>
      </c>
      <c r="D19" s="10">
        <v>61.3</v>
      </c>
      <c r="E19" s="10">
        <f t="shared" si="0"/>
        <v>4352.3</v>
      </c>
      <c r="F19" s="10">
        <v>69</v>
      </c>
      <c r="G19" s="10">
        <v>10.7</v>
      </c>
      <c r="H19" s="10">
        <f t="shared" si="1"/>
        <v>738.3</v>
      </c>
      <c r="I19" s="10">
        <f t="shared" si="2"/>
        <v>5090.6</v>
      </c>
      <c r="J19" s="10">
        <v>0.003</v>
      </c>
      <c r="K19" s="11">
        <f t="shared" si="3"/>
        <v>15.2718</v>
      </c>
    </row>
    <row r="20" spans="1:11" ht="15.75">
      <c r="A20" s="9">
        <v>7</v>
      </c>
      <c r="B20" s="10" t="s">
        <v>18</v>
      </c>
      <c r="C20" s="10">
        <v>0.27</v>
      </c>
      <c r="D20" s="10">
        <v>0.1</v>
      </c>
      <c r="E20" s="10">
        <f t="shared" si="0"/>
        <v>0.027000000000000003</v>
      </c>
      <c r="F20" s="10">
        <v>0.27</v>
      </c>
      <c r="G20" s="10">
        <v>0.4</v>
      </c>
      <c r="H20" s="10">
        <f t="shared" si="1"/>
        <v>0.10800000000000001</v>
      </c>
      <c r="I20" s="10">
        <f t="shared" si="2"/>
        <v>0.135</v>
      </c>
      <c r="J20" s="10">
        <v>5</v>
      </c>
      <c r="K20" s="11">
        <f t="shared" si="3"/>
        <v>0.675</v>
      </c>
    </row>
    <row r="21" spans="1:11" ht="15.75">
      <c r="A21" s="9">
        <v>8</v>
      </c>
      <c r="B21" s="10" t="s">
        <v>19</v>
      </c>
      <c r="C21" s="10">
        <v>10.5</v>
      </c>
      <c r="D21" s="10">
        <v>0.6</v>
      </c>
      <c r="E21" s="10">
        <f t="shared" si="0"/>
        <v>6.3</v>
      </c>
      <c r="F21" s="10">
        <v>10.5</v>
      </c>
      <c r="G21" s="10">
        <v>0.3</v>
      </c>
      <c r="H21" s="10">
        <f t="shared" si="1"/>
        <v>3.15</v>
      </c>
      <c r="I21" s="10">
        <f t="shared" si="2"/>
        <v>9.45</v>
      </c>
      <c r="J21" s="10">
        <v>0.1</v>
      </c>
      <c r="K21" s="11">
        <f t="shared" si="3"/>
        <v>0.945</v>
      </c>
    </row>
    <row r="22" spans="1:11" ht="15.75">
      <c r="A22" s="9">
        <v>9</v>
      </c>
      <c r="B22" s="10" t="s">
        <v>20</v>
      </c>
      <c r="C22" s="10">
        <v>0.43</v>
      </c>
      <c r="D22" s="10">
        <v>0.7</v>
      </c>
      <c r="E22" s="10">
        <f>C22*D22</f>
        <v>0.301</v>
      </c>
      <c r="F22" s="10">
        <v>0.43</v>
      </c>
      <c r="G22" s="10">
        <v>0.9</v>
      </c>
      <c r="H22" s="10">
        <f>F22*G22</f>
        <v>0.387</v>
      </c>
      <c r="I22" s="10">
        <f>E22+H22</f>
        <v>0.688</v>
      </c>
      <c r="J22" s="10">
        <v>0.11</v>
      </c>
      <c r="K22" s="11">
        <f>I22*J22</f>
        <v>0.07568</v>
      </c>
    </row>
    <row r="23" spans="1:11" ht="16.5" thickBot="1">
      <c r="A23" s="12">
        <v>10</v>
      </c>
      <c r="B23" s="13" t="s">
        <v>21</v>
      </c>
      <c r="C23" s="13">
        <v>0.37</v>
      </c>
      <c r="D23" s="13">
        <v>0.6</v>
      </c>
      <c r="E23" s="13">
        <f>C23*D23</f>
        <v>0.222</v>
      </c>
      <c r="F23" s="13">
        <v>0.31</v>
      </c>
      <c r="G23" s="13">
        <v>0.1</v>
      </c>
      <c r="H23" s="13">
        <f>F23*G23</f>
        <v>0.031</v>
      </c>
      <c r="I23" s="13">
        <f>E23+H23</f>
        <v>0.253</v>
      </c>
      <c r="J23" s="13">
        <v>33.3</v>
      </c>
      <c r="K23" s="14">
        <f>I23*J23</f>
        <v>8.4249</v>
      </c>
    </row>
    <row r="24" spans="1:11" ht="16.5" thickBot="1">
      <c r="A24" s="15"/>
      <c r="B24" s="16" t="s">
        <v>22</v>
      </c>
      <c r="C24" s="16"/>
      <c r="D24" s="16"/>
      <c r="E24" s="16"/>
      <c r="F24" s="16"/>
      <c r="G24" s="16"/>
      <c r="H24" s="16"/>
      <c r="I24" s="16"/>
      <c r="J24" s="16"/>
      <c r="K24" s="17">
        <f>ROUND(SUM(K14:K23),3)</f>
        <v>259.232</v>
      </c>
    </row>
    <row r="25" spans="1:11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5.75">
      <c r="A26" s="18"/>
      <c r="B26" s="19" t="str">
        <f>CONCATENATE("Показатель относительной опасности загрязнения водоёмов равен ",B28)</f>
        <v>Показатель относительной опасности загрязнения водоёмов равен 0,5</v>
      </c>
      <c r="C26" s="19"/>
      <c r="D26" s="19"/>
      <c r="E26" s="19"/>
      <c r="F26" s="19"/>
      <c r="G26" s="19"/>
      <c r="I26" s="18"/>
      <c r="J26" s="18"/>
      <c r="K26" s="18"/>
    </row>
    <row r="27" spans="2:5" ht="15.75">
      <c r="B27" s="1" t="str">
        <f>CONCATENATE("Ус=",B29,"*",B28,"*",K24," =",B30," (руб/год)")</f>
        <v>Ус=443,5*0,5*259,232 =57484,696 (руб/год)</v>
      </c>
      <c r="E27" s="20"/>
    </row>
    <row r="28" ht="15.75">
      <c r="B28" s="19">
        <v>0.5</v>
      </c>
    </row>
    <row r="29" ht="15.75">
      <c r="B29" s="1">
        <v>443.5</v>
      </c>
    </row>
    <row r="30" spans="2:4" ht="15.75">
      <c r="B30" s="30">
        <f>B29*B28*K24</f>
        <v>57484.696</v>
      </c>
      <c r="D30" s="1">
        <v>57484.7</v>
      </c>
    </row>
  </sheetData>
  <mergeCells count="8">
    <mergeCell ref="A1:K1"/>
    <mergeCell ref="I11:I12"/>
    <mergeCell ref="J11:J12"/>
    <mergeCell ref="K11:K12"/>
    <mergeCell ref="A11:A12"/>
    <mergeCell ref="B11:B12"/>
    <mergeCell ref="C11:E11"/>
    <mergeCell ref="F11:H11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3"/>
  <legacyDrawing r:id="rId2"/>
  <oleObjects>
    <oleObject progId="Equation.3" shapeId="71793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28.00390625" style="1" customWidth="1"/>
    <col min="3" max="3" width="10.125" style="1" customWidth="1"/>
    <col min="4" max="8" width="9.375" style="1" customWidth="1"/>
    <col min="9" max="9" width="16.00390625" style="1" bestFit="1" customWidth="1"/>
    <col min="10" max="10" width="13.375" style="1" bestFit="1" customWidth="1"/>
    <col min="11" max="11" width="12.125" style="1" bestFit="1" customWidth="1"/>
    <col min="12" max="12" width="14.125" style="1" customWidth="1"/>
    <col min="13" max="16384" width="9.375" style="1" customWidth="1"/>
  </cols>
  <sheetData>
    <row r="1" spans="1:7" ht="25.5">
      <c r="A1" s="36" t="s">
        <v>81</v>
      </c>
      <c r="G1" s="35"/>
    </row>
    <row r="2" ht="16.5" thickBot="1">
      <c r="B2" s="1" t="s">
        <v>103</v>
      </c>
    </row>
    <row r="3" spans="1:12" ht="15.75">
      <c r="A3" s="45" t="s">
        <v>2</v>
      </c>
      <c r="B3" s="41" t="s">
        <v>41</v>
      </c>
      <c r="C3" s="41" t="s">
        <v>97</v>
      </c>
      <c r="D3" s="41" t="s">
        <v>67</v>
      </c>
      <c r="E3" s="41" t="s">
        <v>68</v>
      </c>
      <c r="F3" s="47" t="s">
        <v>45</v>
      </c>
      <c r="G3" s="47"/>
      <c r="H3" s="41" t="s">
        <v>46</v>
      </c>
      <c r="I3" s="47" t="s">
        <v>47</v>
      </c>
      <c r="J3" s="47"/>
      <c r="K3" s="47"/>
      <c r="L3" s="43" t="s">
        <v>69</v>
      </c>
    </row>
    <row r="4" spans="1:12" ht="48" thickBot="1">
      <c r="A4" s="46"/>
      <c r="B4" s="42"/>
      <c r="C4" s="42"/>
      <c r="D4" s="42"/>
      <c r="E4" s="42"/>
      <c r="F4" s="2" t="s">
        <v>70</v>
      </c>
      <c r="G4" s="2" t="s">
        <v>71</v>
      </c>
      <c r="H4" s="42"/>
      <c r="I4" s="2" t="s">
        <v>72</v>
      </c>
      <c r="J4" s="2" t="s">
        <v>73</v>
      </c>
      <c r="K4" s="2" t="s">
        <v>74</v>
      </c>
      <c r="L4" s="44"/>
    </row>
    <row r="5" spans="1:12" ht="16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5">
        <v>12</v>
      </c>
    </row>
    <row r="6" spans="1:12" ht="15.75">
      <c r="A6" s="6">
        <v>1</v>
      </c>
      <c r="B6" s="7" t="s">
        <v>30</v>
      </c>
      <c r="C6" s="7">
        <f>'Табл. № 8'!C5</f>
        <v>210</v>
      </c>
      <c r="D6" s="7">
        <f>'Табл. №5'!E6</f>
        <v>15</v>
      </c>
      <c r="E6" s="7">
        <f aca="true" t="shared" si="0" ref="E6:E12">C6-(C6*5%)</f>
        <v>199.5</v>
      </c>
      <c r="F6" s="7">
        <f>E6-D6</f>
        <v>184.5</v>
      </c>
      <c r="G6" s="7">
        <f aca="true" t="shared" si="1" ref="G6:G12">C6-E6</f>
        <v>10.5</v>
      </c>
      <c r="H6" s="7">
        <v>330</v>
      </c>
      <c r="I6" s="7">
        <f aca="true" t="shared" si="2" ref="I6:I12">D6*H6</f>
        <v>4950</v>
      </c>
      <c r="J6" s="7">
        <f aca="true" t="shared" si="3" ref="J6:J12">F6*H6*5</f>
        <v>304425</v>
      </c>
      <c r="K6" s="7">
        <f aca="true" t="shared" si="4" ref="K6:K12">G6*H6*25</f>
        <v>86625</v>
      </c>
      <c r="L6" s="8">
        <f aca="true" t="shared" si="5" ref="L6:L12">I6+J6+K6</f>
        <v>396000</v>
      </c>
    </row>
    <row r="7" spans="1:12" ht="15.75">
      <c r="A7" s="9">
        <v>2</v>
      </c>
      <c r="B7" s="10" t="s">
        <v>31</v>
      </c>
      <c r="C7" s="7">
        <f>'Табл. № 8'!C6</f>
        <v>770</v>
      </c>
      <c r="D7" s="7">
        <f>'Табл. №5'!E7</f>
        <v>15.714285714285714</v>
      </c>
      <c r="E7" s="10">
        <f t="shared" si="0"/>
        <v>731.5</v>
      </c>
      <c r="F7" s="10">
        <v>0</v>
      </c>
      <c r="G7" s="10">
        <f t="shared" si="1"/>
        <v>38.5</v>
      </c>
      <c r="H7" s="10">
        <v>825</v>
      </c>
      <c r="I7" s="10">
        <f t="shared" si="2"/>
        <v>12964.285714285714</v>
      </c>
      <c r="J7" s="10">
        <f t="shared" si="3"/>
        <v>0</v>
      </c>
      <c r="K7" s="10">
        <f t="shared" si="4"/>
        <v>794062.5</v>
      </c>
      <c r="L7" s="11">
        <f t="shared" si="5"/>
        <v>807026.7857142857</v>
      </c>
    </row>
    <row r="8" spans="1:12" ht="15.75">
      <c r="A8" s="9">
        <v>3</v>
      </c>
      <c r="B8" s="10" t="s">
        <v>32</v>
      </c>
      <c r="C8" s="7">
        <f>'Табл. № 8'!C7</f>
        <v>1610</v>
      </c>
      <c r="D8" s="7">
        <f>'Табл. №5'!E8</f>
        <v>57.5</v>
      </c>
      <c r="E8" s="10">
        <f t="shared" si="0"/>
        <v>1529.5</v>
      </c>
      <c r="F8" s="10">
        <f>E8-D8</f>
        <v>1472</v>
      </c>
      <c r="G8" s="10">
        <f t="shared" si="1"/>
        <v>80.5</v>
      </c>
      <c r="H8" s="10">
        <v>110</v>
      </c>
      <c r="I8" s="10">
        <f t="shared" si="2"/>
        <v>6325</v>
      </c>
      <c r="J8" s="10">
        <f t="shared" si="3"/>
        <v>809600</v>
      </c>
      <c r="K8" s="10">
        <f t="shared" si="4"/>
        <v>221375</v>
      </c>
      <c r="L8" s="11">
        <f t="shared" si="5"/>
        <v>1037300</v>
      </c>
    </row>
    <row r="9" spans="1:12" ht="15.75">
      <c r="A9" s="9">
        <v>4</v>
      </c>
      <c r="B9" s="10" t="s">
        <v>33</v>
      </c>
      <c r="C9" s="7">
        <f>'Табл. № 8'!C8</f>
        <v>10</v>
      </c>
      <c r="D9" s="7">
        <f>'Табл. №5'!E9</f>
        <v>1.4992503748125938</v>
      </c>
      <c r="E9" s="10">
        <f t="shared" si="0"/>
        <v>9.5</v>
      </c>
      <c r="F9" s="10">
        <f>E9-D9</f>
        <v>8.000749625187407</v>
      </c>
      <c r="G9" s="10">
        <f t="shared" si="1"/>
        <v>0.5</v>
      </c>
      <c r="H9" s="10">
        <v>550</v>
      </c>
      <c r="I9" s="10">
        <f t="shared" si="2"/>
        <v>824.5877061469266</v>
      </c>
      <c r="J9" s="10">
        <f t="shared" si="3"/>
        <v>22002.06146926537</v>
      </c>
      <c r="K9" s="10">
        <f t="shared" si="4"/>
        <v>6875</v>
      </c>
      <c r="L9" s="11">
        <f t="shared" si="5"/>
        <v>29701.649175412294</v>
      </c>
    </row>
    <row r="10" spans="1:12" ht="15.75">
      <c r="A10" s="9">
        <v>5</v>
      </c>
      <c r="B10" s="10" t="s">
        <v>28</v>
      </c>
      <c r="C10" s="7">
        <f>'Табл. № 8'!C9</f>
        <v>169.26</v>
      </c>
      <c r="D10" s="7">
        <f>'Табл. №5'!E10</f>
        <v>8.463</v>
      </c>
      <c r="E10" s="10">
        <f t="shared" si="0"/>
        <v>160.797</v>
      </c>
      <c r="F10" s="10">
        <v>0</v>
      </c>
      <c r="G10" s="10">
        <f t="shared" si="1"/>
        <v>8.462999999999994</v>
      </c>
      <c r="H10" s="10">
        <v>330</v>
      </c>
      <c r="I10" s="10">
        <f t="shared" si="2"/>
        <v>2792.7899999999995</v>
      </c>
      <c r="J10" s="10">
        <f t="shared" si="3"/>
        <v>0</v>
      </c>
      <c r="K10" s="10">
        <f t="shared" si="4"/>
        <v>69819.74999999996</v>
      </c>
      <c r="L10" s="11">
        <f t="shared" si="5"/>
        <v>72612.53999999995</v>
      </c>
    </row>
    <row r="11" spans="1:12" ht="15.75">
      <c r="A11" s="9">
        <v>6</v>
      </c>
      <c r="B11" s="10" t="s">
        <v>29</v>
      </c>
      <c r="C11" s="7">
        <f>'Табл. № 8'!C10</f>
        <v>11335.171</v>
      </c>
      <c r="D11" s="7">
        <f>'Табл. №5'!E11</f>
        <v>566.75855</v>
      </c>
      <c r="E11" s="10">
        <f t="shared" si="0"/>
        <v>10768.41245</v>
      </c>
      <c r="F11" s="10">
        <f>E11-D11</f>
        <v>10201.6539</v>
      </c>
      <c r="G11" s="10">
        <f t="shared" si="1"/>
        <v>566.7585500000005</v>
      </c>
      <c r="H11" s="10">
        <v>165</v>
      </c>
      <c r="I11" s="10">
        <f t="shared" si="2"/>
        <v>93515.16075</v>
      </c>
      <c r="J11" s="10">
        <f t="shared" si="3"/>
        <v>8416364.4675</v>
      </c>
      <c r="K11" s="10">
        <f t="shared" si="4"/>
        <v>2337879.018750002</v>
      </c>
      <c r="L11" s="11">
        <f t="shared" si="5"/>
        <v>10847758.647000002</v>
      </c>
    </row>
    <row r="12" spans="1:12" ht="16.5" thickBot="1">
      <c r="A12" s="12">
        <v>7</v>
      </c>
      <c r="B12" s="13" t="s">
        <v>34</v>
      </c>
      <c r="C12" s="7">
        <f>'Табл. № 8'!C11</f>
        <v>2696.371</v>
      </c>
      <c r="D12" s="7">
        <f>'Табл. №5'!E12</f>
        <v>107.85484000000001</v>
      </c>
      <c r="E12" s="13">
        <f t="shared" si="0"/>
        <v>2561.55245</v>
      </c>
      <c r="F12" s="13">
        <f>E12-D12</f>
        <v>2453.69761</v>
      </c>
      <c r="G12" s="13">
        <f t="shared" si="1"/>
        <v>134.81854999999996</v>
      </c>
      <c r="H12" s="13">
        <v>415</v>
      </c>
      <c r="I12" s="13">
        <f t="shared" si="2"/>
        <v>44759.7586</v>
      </c>
      <c r="J12" s="13">
        <f t="shared" si="3"/>
        <v>5091422.540750001</v>
      </c>
      <c r="K12" s="13">
        <f t="shared" si="4"/>
        <v>1398742.4562499996</v>
      </c>
      <c r="L12" s="14">
        <f t="shared" si="5"/>
        <v>6534924.755600001</v>
      </c>
    </row>
    <row r="13" spans="1:12" ht="16.5" thickBot="1">
      <c r="A13" s="15"/>
      <c r="B13" s="16" t="s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f>ROUND(SUM(L6:L12),2)</f>
        <v>19725324.38</v>
      </c>
    </row>
    <row r="14" ht="16.5" customHeight="1">
      <c r="J14" s="35"/>
    </row>
    <row r="15" ht="15.75">
      <c r="B15" s="1" t="str">
        <f>CONCATENATE("Плата = ",L13,"*1,2*42 = ",B20," руб")</f>
        <v>Плата = 19725324,38*1,2*42 = 994156348,75 руб</v>
      </c>
    </row>
    <row r="16" ht="15.75">
      <c r="B16" s="1" t="str">
        <f>CONCATENATE(" 10% - ",ROUND((L13*1.2*0.1*42),2)," (руб) в бюджет России")</f>
        <v> 10% - 99415634,88 (руб) в бюджет России</v>
      </c>
    </row>
    <row r="17" ht="15.75">
      <c r="B17" s="1" t="str">
        <f>CONCATENATE(" 90% - ",ROUND((L13*1.2*42*0.9),2)," (руб) в областной экологический фонд")</f>
        <v> 90% - 894740713,88 (руб) в областной экологический фонд</v>
      </c>
    </row>
    <row r="18" ht="15.75">
      <c r="B18" s="1" t="str">
        <f>CONCATENATE("Плата общая (новая) = ",B21," руб/год")</f>
        <v>Плата общая (новая) = 1106778414,33 руб/год</v>
      </c>
    </row>
    <row r="19" ht="15.75">
      <c r="B19" s="1" t="str">
        <f>CONCATENATE("Сокращение платы составило: Пстар. - Пновая = ",B22)</f>
        <v>Сокращение платы составило: Пстар. - Пновая = 55280867,85</v>
      </c>
    </row>
    <row r="20" spans="1:2" ht="15.75">
      <c r="A20" s="1" t="s">
        <v>91</v>
      </c>
      <c r="B20" s="1">
        <f>ROUND((L13*1.2*42),2)</f>
        <v>994156348.75</v>
      </c>
    </row>
    <row r="21" spans="1:5" ht="15.75">
      <c r="A21" s="1" t="s">
        <v>104</v>
      </c>
      <c r="B21" s="1">
        <f>ROUND(B20+'Табл. №9'!B22+'Плата за тр. ср-во'!B20,2)</f>
        <v>1106778414.33</v>
      </c>
      <c r="E21" s="1">
        <f>B21*100/'Плата за тр. ср-во'!B21</f>
        <v>95.24285303704177</v>
      </c>
    </row>
    <row r="22" spans="1:2" ht="15.75">
      <c r="A22" s="1" t="s">
        <v>105</v>
      </c>
      <c r="B22" s="1">
        <f>ROUND('Плата за тр. ср-во'!B21-'Табл. №10'!B21,2)</f>
        <v>55280867.85</v>
      </c>
    </row>
    <row r="23" ht="15.75">
      <c r="B23" s="1">
        <v>1106778414.33</v>
      </c>
    </row>
  </sheetData>
  <mergeCells count="9">
    <mergeCell ref="L3:L4"/>
    <mergeCell ref="E3:E4"/>
    <mergeCell ref="F3:G3"/>
    <mergeCell ref="H3:H4"/>
    <mergeCell ref="I3:K3"/>
    <mergeCell ref="A3:A4"/>
    <mergeCell ref="B3:B4"/>
    <mergeCell ref="C3:C4"/>
    <mergeCell ref="D3:D4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2" width="14.625" style="1" bestFit="1" customWidth="1"/>
    <col min="3" max="3" width="11.50390625" style="1" bestFit="1" customWidth="1"/>
    <col min="4" max="8" width="9.50390625" style="1" bestFit="1" customWidth="1"/>
    <col min="9" max="14" width="9.375" style="1" customWidth="1"/>
    <col min="15" max="15" width="16.125" style="1" customWidth="1"/>
    <col min="16" max="16" width="17.625" style="1" customWidth="1"/>
    <col min="17" max="17" width="20.50390625" style="1" customWidth="1"/>
    <col min="18" max="16384" width="9.375" style="1" customWidth="1"/>
  </cols>
  <sheetData>
    <row r="1" ht="20.25">
      <c r="B1" s="26" t="s">
        <v>82</v>
      </c>
    </row>
    <row r="2" spans="3:6" ht="20.25">
      <c r="C2" s="26" t="s">
        <v>76</v>
      </c>
      <c r="D2" s="26"/>
      <c r="E2" s="26"/>
      <c r="F2" s="26"/>
    </row>
    <row r="3" ht="15.75">
      <c r="C3" s="1" t="s">
        <v>77</v>
      </c>
    </row>
    <row r="4" ht="15.75">
      <c r="C4" s="1" t="s">
        <v>78</v>
      </c>
    </row>
    <row r="5" ht="15.75">
      <c r="C5" s="1" t="s">
        <v>92</v>
      </c>
    </row>
    <row r="6" ht="15.75">
      <c r="C6" s="1" t="s">
        <v>79</v>
      </c>
    </row>
    <row r="7" spans="1:16" ht="127.5">
      <c r="A7" s="10"/>
      <c r="B7" s="31" t="s">
        <v>83</v>
      </c>
      <c r="C7" s="31" t="s">
        <v>84</v>
      </c>
      <c r="D7" s="31" t="s">
        <v>85</v>
      </c>
      <c r="E7" s="31" t="s">
        <v>86</v>
      </c>
      <c r="F7" s="32" t="s">
        <v>87</v>
      </c>
      <c r="G7" s="32" t="s">
        <v>88</v>
      </c>
      <c r="H7" s="32" t="s">
        <v>89</v>
      </c>
      <c r="I7" s="29"/>
      <c r="J7" s="29"/>
      <c r="K7" s="29"/>
      <c r="L7" s="29"/>
      <c r="M7" s="29"/>
      <c r="N7" s="29"/>
      <c r="O7" s="29"/>
      <c r="P7" s="29"/>
    </row>
    <row r="8" spans="1:8" s="30" customFormat="1" ht="15.75">
      <c r="A8" s="33" t="s">
        <v>95</v>
      </c>
      <c r="B8" s="34">
        <v>7</v>
      </c>
      <c r="C8" s="34">
        <v>11</v>
      </c>
      <c r="D8" s="34">
        <v>1</v>
      </c>
      <c r="E8" s="34">
        <v>4</v>
      </c>
      <c r="F8" s="33">
        <v>1</v>
      </c>
      <c r="G8" s="33">
        <v>1</v>
      </c>
      <c r="H8" s="33">
        <v>1</v>
      </c>
    </row>
    <row r="9" spans="1:8" ht="15.75">
      <c r="A9" s="10" t="s">
        <v>90</v>
      </c>
      <c r="B9" s="10">
        <v>5400</v>
      </c>
      <c r="C9" s="10">
        <v>8000</v>
      </c>
      <c r="D9" s="10">
        <v>5000</v>
      </c>
      <c r="E9" s="10">
        <v>1000</v>
      </c>
      <c r="F9" s="10">
        <v>42800</v>
      </c>
      <c r="G9" s="10">
        <v>5000</v>
      </c>
      <c r="H9" s="10">
        <v>12000</v>
      </c>
    </row>
    <row r="11" ht="15.75">
      <c r="B11" s="1" t="str">
        <f>CONCATENATE("Плата = ",ROUND((B8*B9+C8*C9+D8*D9+E8*E9+F8*F9+G8*G9+H8*H9)*1.2*10,2)," руб")</f>
        <v>Плата = 2335200 руб</v>
      </c>
    </row>
    <row r="13" ht="15.75">
      <c r="C13" s="1" t="str">
        <f>CONCATENATE(" 10% - ",B20*0.1," (руб) в бюджет России")</f>
        <v> 10% - 233520 (руб) в бюджет России</v>
      </c>
    </row>
    <row r="14" ht="15.75">
      <c r="C14" s="1" t="str">
        <f>CONCATENATE(" 90% - ",B20*0.9," (руб) в областной экологический фонд")</f>
        <v> 90% - 2101680 (руб) в областной экологический фонд</v>
      </c>
    </row>
    <row r="16" ht="15.75">
      <c r="A16" s="27" t="s">
        <v>93</v>
      </c>
    </row>
    <row r="17" ht="15.75">
      <c r="D17" s="27" t="s">
        <v>94</v>
      </c>
    </row>
    <row r="18" ht="15.75">
      <c r="D18" s="27"/>
    </row>
    <row r="19" ht="15.75">
      <c r="B19" s="28" t="str">
        <f>CONCATENATE("Об. Плата = ",'Табл. №4'!B23,"+",'Табл. №6'!B19,"+",B11,"=",B21,"руб.")</f>
        <v>Об. Плата = 116482543,43+1043241538,75+Плата = 2335200 руб=1162059282,18руб.</v>
      </c>
    </row>
    <row r="20" spans="1:2" ht="15.75">
      <c r="A20" s="1" t="s">
        <v>90</v>
      </c>
      <c r="B20" s="1">
        <f>ROUND((B8*B9+C8*C9+D8*D9+E8*E9+F8*F9+G8*G9+H8*H9)*1.2*10,2)</f>
        <v>2335200</v>
      </c>
    </row>
    <row r="21" spans="1:2" ht="15.75">
      <c r="A21" s="1" t="s">
        <v>101</v>
      </c>
      <c r="B21" s="1">
        <f>ROUND(('Табл. №4'!B23+'Табл. №6'!B19+B20),2)</f>
        <v>1162059282.18</v>
      </c>
    </row>
    <row r="22" ht="15.75">
      <c r="B22" s="1">
        <v>2335200</v>
      </c>
    </row>
    <row r="23" ht="15.75">
      <c r="B23" s="1">
        <v>1162059282.18</v>
      </c>
    </row>
  </sheetData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9.375" style="1" customWidth="1"/>
    <col min="2" max="2" width="15.00390625" style="1" bestFit="1" customWidth="1"/>
    <col min="3" max="4" width="9.375" style="1" customWidth="1"/>
    <col min="5" max="5" width="18.00390625" style="1" customWidth="1"/>
    <col min="6" max="6" width="14.375" style="1" customWidth="1"/>
    <col min="7" max="7" width="13.125" style="1" customWidth="1"/>
    <col min="8" max="8" width="10.50390625" style="1" bestFit="1" customWidth="1"/>
    <col min="9" max="16384" width="9.375" style="1" customWidth="1"/>
  </cols>
  <sheetData>
    <row r="1" spans="1:11" ht="23.25">
      <c r="A1" s="48" t="s">
        <v>106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ht="15.75">
      <c r="A3" s="1" t="s">
        <v>107</v>
      </c>
    </row>
    <row r="4" ht="15"/>
    <row r="5" ht="15"/>
    <row r="6" ht="15"/>
    <row r="7" ht="15.75">
      <c r="B7" s="1" t="str">
        <f>CONCATENATE("Сокращённый уровень ущерба  = ",'Табл. №2'!B28,"-",'Табл. № 8'!B21," = ",ROUND(('Табл. №2'!B28-'Табл. № 8'!B21),2)," (руб/год)")</f>
        <v>Сокращённый уровень ущерба  = 2396679,45-2126896,52 = 269782,93 (руб/год)</v>
      </c>
    </row>
    <row r="8" ht="15"/>
    <row r="9" ht="15"/>
    <row r="10" ht="15"/>
    <row r="11" ht="15"/>
    <row r="12" ht="19.5" customHeight="1">
      <c r="B12" s="1" t="s">
        <v>108</v>
      </c>
    </row>
    <row r="13" ht="15.75">
      <c r="B13" s="1" t="s">
        <v>109</v>
      </c>
    </row>
    <row r="14" ht="15.75">
      <c r="B14" s="1" t="s">
        <v>110</v>
      </c>
    </row>
    <row r="16" ht="15.75">
      <c r="B16" s="1" t="str">
        <f>CONCATENATE("К = 0,75*Старая плата = ",ROUND(0.75*'Плата за тр. ср-во'!B21,2)," (руб/год)")</f>
        <v>К = 0,75*Старая плата = 871544461,64 (руб/год)</v>
      </c>
    </row>
    <row r="17" ht="15.75">
      <c r="B17" s="1" t="str">
        <f>CONCATENATE("С = К*0,1 =",ROUND(0.1*E29,2),"(руб/год)")</f>
        <v>С = К*0,1 =87154446,16(руб/год)</v>
      </c>
    </row>
    <row r="19" ht="15.75">
      <c r="B19" s="1" t="str">
        <f>CONCATENATE("Э =",E28," /(",E30,"+",E31,"*",E29,") = ",ROUND((E28/(E30+E31*E29)),5),)</f>
        <v>Э =269782,93 /(87154446,16+0,12*871544461,64) = 0,00141</v>
      </c>
    </row>
    <row r="21" ht="15.75">
      <c r="B21" s="1" t="s">
        <v>116</v>
      </c>
    </row>
    <row r="23" spans="1:11" ht="33" customHeight="1">
      <c r="A23" s="50" t="s">
        <v>111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5.75">
      <c r="A24" s="49" t="str">
        <f>CONCATENATE("Если капитальные вложения составят ",ROUND(G29,2)," % от старой платы, то мероприятия будут целесообразны.")</f>
        <v>Если капитальные вложения составят 0,11 % от старой платы, то мероприятия будут целесообразны.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6" ht="15.75">
      <c r="B26" s="1" t="str">
        <f>CONCATENATE("Э =",E28," /(",H30,"+",E31,"*",H29,") = ",ROUND((E28/(H30+E31*H29)),5),)</f>
        <v>Э =269782,93 /(122628,604545455+0,12*1226286,04545455) = 1</v>
      </c>
    </row>
    <row r="28" spans="2:5" ht="15.75">
      <c r="B28" s="30" t="s">
        <v>112</v>
      </c>
      <c r="E28" s="37">
        <f>ROUND(('Табл. №2'!B28-'Табл. № 8'!B21),2)</f>
        <v>269782.93</v>
      </c>
    </row>
    <row r="29" spans="2:8" ht="15.75">
      <c r="B29" s="30" t="s">
        <v>113</v>
      </c>
      <c r="E29" s="37">
        <f>ROUND((0.75*'Плата за тр. ср-во'!B21),2)</f>
        <v>871544461.64</v>
      </c>
      <c r="G29" s="1">
        <f>(E28/0.22)*100/'Плата за тр. ср-во'!B21</f>
        <v>0.10552697820665889</v>
      </c>
      <c r="H29" s="1">
        <f>'Плата за тр. ср-во'!B21*Целесообразность!G29%</f>
        <v>1226286.0454545454</v>
      </c>
    </row>
    <row r="30" spans="2:8" ht="15.75">
      <c r="B30" s="30" t="s">
        <v>114</v>
      </c>
      <c r="E30" s="1">
        <f>ROUND((0.1*E29),2)</f>
        <v>87154446.16</v>
      </c>
      <c r="G30" s="1">
        <f>G29*0.1</f>
        <v>0.01055269782066589</v>
      </c>
      <c r="H30" s="1">
        <f>H29*0.1</f>
        <v>122628.60454545455</v>
      </c>
    </row>
    <row r="31" spans="2:5" ht="15.75">
      <c r="B31" s="30" t="s">
        <v>115</v>
      </c>
      <c r="E31" s="1">
        <v>0.12</v>
      </c>
    </row>
  </sheetData>
  <mergeCells count="3">
    <mergeCell ref="A1:K1"/>
    <mergeCell ref="A24:K24"/>
    <mergeCell ref="A23:K23"/>
  </mergeCells>
  <printOptions horizontalCentered="1"/>
  <pageMargins left="0.7874015748031497" right="0.7874015748031497" top="1.1811023622047245" bottom="0.3937007874015748" header="0.5118110236220472" footer="0.5118110236220472"/>
  <pageSetup horizontalDpi="300" verticalDpi="300" orientation="landscape" paperSize="9" r:id="rId4"/>
  <legacyDrawing r:id="rId3"/>
  <oleObjects>
    <oleObject progId="Equation.3" shapeId="1298534" r:id="rId1"/>
    <oleObject progId="Equation.3" shapeId="129853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2" width="30.875" style="1" customWidth="1"/>
    <col min="3" max="3" width="20.125" style="1" bestFit="1" customWidth="1"/>
    <col min="4" max="4" width="27.50390625" style="1" customWidth="1"/>
    <col min="5" max="5" width="18.00390625" style="1" customWidth="1"/>
    <col min="6" max="16384" width="9.375" style="1" customWidth="1"/>
  </cols>
  <sheetData>
    <row r="1" ht="20.25">
      <c r="A1" s="38" t="s">
        <v>23</v>
      </c>
    </row>
    <row r="2" ht="15"/>
    <row r="3" ht="15"/>
    <row r="4" ht="15"/>
    <row r="5" ht="15"/>
    <row r="6" ht="15"/>
    <row r="7" ht="15"/>
    <row r="8" ht="15.75" thickBot="1">
      <c r="A8" s="1" t="s">
        <v>24</v>
      </c>
    </row>
    <row r="9" spans="1:5" ht="63.75" thickBot="1">
      <c r="A9" s="3" t="s">
        <v>2</v>
      </c>
      <c r="B9" s="21" t="s">
        <v>3</v>
      </c>
      <c r="C9" s="21" t="s">
        <v>25</v>
      </c>
      <c r="D9" s="21" t="s">
        <v>26</v>
      </c>
      <c r="E9" s="22" t="s">
        <v>27</v>
      </c>
    </row>
    <row r="10" spans="1:5" ht="16.5" thickBot="1">
      <c r="A10" s="3">
        <v>1</v>
      </c>
      <c r="B10" s="4">
        <v>2</v>
      </c>
      <c r="C10" s="4">
        <v>3</v>
      </c>
      <c r="D10" s="4">
        <v>4</v>
      </c>
      <c r="E10" s="5">
        <v>5</v>
      </c>
    </row>
    <row r="11" spans="1:5" ht="15.75">
      <c r="A11" s="6">
        <v>1</v>
      </c>
      <c r="B11" s="7" t="s">
        <v>30</v>
      </c>
      <c r="C11" s="7">
        <v>300</v>
      </c>
      <c r="D11" s="7">
        <v>20</v>
      </c>
      <c r="E11" s="8">
        <f aca="true" t="shared" si="0" ref="E11:E17">C11*D11</f>
        <v>6000</v>
      </c>
    </row>
    <row r="12" spans="1:5" ht="15.75">
      <c r="A12" s="9">
        <v>2</v>
      </c>
      <c r="B12" s="10" t="s">
        <v>31</v>
      </c>
      <c r="C12" s="10">
        <v>1100</v>
      </c>
      <c r="D12" s="10">
        <v>70</v>
      </c>
      <c r="E12" s="11">
        <f t="shared" si="0"/>
        <v>77000</v>
      </c>
    </row>
    <row r="13" spans="1:5" ht="15.75">
      <c r="A13" s="9">
        <v>3</v>
      </c>
      <c r="B13" s="10" t="s">
        <v>32</v>
      </c>
      <c r="C13" s="10">
        <v>2300</v>
      </c>
      <c r="D13" s="10">
        <v>40</v>
      </c>
      <c r="E13" s="11">
        <f t="shared" si="0"/>
        <v>92000</v>
      </c>
    </row>
    <row r="14" spans="1:5" ht="15.75">
      <c r="A14" s="9">
        <v>4</v>
      </c>
      <c r="B14" s="10" t="s">
        <v>33</v>
      </c>
      <c r="C14" s="10">
        <v>10</v>
      </c>
      <c r="D14" s="10">
        <v>6.67</v>
      </c>
      <c r="E14" s="11">
        <f t="shared" si="0"/>
        <v>66.7</v>
      </c>
    </row>
    <row r="15" spans="1:5" ht="15.75">
      <c r="A15" s="9">
        <v>5</v>
      </c>
      <c r="B15" s="10" t="s">
        <v>28</v>
      </c>
      <c r="C15" s="10">
        <v>169.26</v>
      </c>
      <c r="D15" s="10">
        <v>20</v>
      </c>
      <c r="E15" s="11">
        <f t="shared" si="0"/>
        <v>3385.2</v>
      </c>
    </row>
    <row r="16" spans="1:5" ht="15.75">
      <c r="A16" s="9">
        <v>6</v>
      </c>
      <c r="B16" s="10" t="s">
        <v>29</v>
      </c>
      <c r="C16" s="10">
        <v>11335.171</v>
      </c>
      <c r="D16" s="10">
        <v>20</v>
      </c>
      <c r="E16" s="11">
        <f t="shared" si="0"/>
        <v>226703.42</v>
      </c>
    </row>
    <row r="17" spans="1:5" ht="16.5" thickBot="1">
      <c r="A17" s="12">
        <v>7</v>
      </c>
      <c r="B17" s="13" t="s">
        <v>34</v>
      </c>
      <c r="C17" s="13">
        <v>2696.371</v>
      </c>
      <c r="D17" s="13">
        <v>25</v>
      </c>
      <c r="E17" s="14">
        <f t="shared" si="0"/>
        <v>67409.27500000001</v>
      </c>
    </row>
    <row r="18" spans="1:5" ht="16.5" thickBot="1">
      <c r="A18" s="15"/>
      <c r="B18" s="16" t="s">
        <v>22</v>
      </c>
      <c r="C18" s="16">
        <f>SUM(C11:C17)</f>
        <v>17910.802</v>
      </c>
      <c r="D18" s="16"/>
      <c r="E18" s="17">
        <f>SUM(E11:E17)</f>
        <v>472564.5950000001</v>
      </c>
    </row>
    <row r="19" spans="1:5" ht="15.75">
      <c r="A19" s="18"/>
      <c r="B19" s="18"/>
      <c r="C19" s="18"/>
      <c r="D19" s="18"/>
      <c r="E19" s="18"/>
    </row>
    <row r="20" ht="15.75">
      <c r="B20" s="1" t="str">
        <f>CONCATENATE("Показатель относительной опасности загрязнения атмосферы равен ",B24)</f>
        <v>Показатель относительной опасности загрязнения атмосферы равен 3</v>
      </c>
    </row>
    <row r="21" ht="15.75">
      <c r="B21" s="30" t="str">
        <f>CONCATENATE("f = ",B25)</f>
        <v>f = 0,5</v>
      </c>
    </row>
    <row r="22" spans="2:4" ht="15.75">
      <c r="B22" s="30" t="str">
        <f>CONCATENATE("Ув =",B26,"*",B24,"*",B25,"*",E18," =",B27," (руб/год)")</f>
        <v>Ув =3,3*3*0,5*472564,595 =2339194,75 (руб/год)</v>
      </c>
      <c r="D22" s="20"/>
    </row>
    <row r="23" spans="2:4" ht="15.75">
      <c r="B23" s="30" t="str">
        <f>CONCATENATE("Уобщее = Ус + Ув =",B28," (руб/год)")</f>
        <v>Уобщее = Ус + Ув =2396679,45 (руб/год)</v>
      </c>
      <c r="D23" s="20"/>
    </row>
    <row r="24" ht="15.75">
      <c r="B24" s="30">
        <v>3</v>
      </c>
    </row>
    <row r="25" ht="15.75">
      <c r="B25" s="30">
        <v>0.5</v>
      </c>
    </row>
    <row r="26" ht="15.75">
      <c r="B26" s="1">
        <v>3.3</v>
      </c>
    </row>
    <row r="27" spans="2:4" ht="15.75">
      <c r="B27" s="30">
        <f>ROUND(B26*B24*B25*E18,2)</f>
        <v>2339194.75</v>
      </c>
      <c r="C27" s="1">
        <v>2339194.75</v>
      </c>
      <c r="D27" s="1">
        <f>'Табл. № 8'!B21*100/'Табл. №2'!C27</f>
        <v>90.92430290380909</v>
      </c>
    </row>
    <row r="28" spans="2:3" ht="15.75">
      <c r="B28" s="30">
        <f>ROUND('Табл. №1'!B30+'Табл. №2'!B27,2)</f>
        <v>2396679.45</v>
      </c>
      <c r="C28" s="1">
        <v>2396679.45</v>
      </c>
    </row>
  </sheetData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3"/>
  <legacyDrawing r:id="rId2"/>
  <oleObjects>
    <oleObject progId="Equation.3" shapeId="7680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.50390625" style="1" customWidth="1"/>
    <col min="2" max="2" width="30.50390625" style="1" bestFit="1" customWidth="1"/>
    <col min="3" max="3" width="15.00390625" style="1" bestFit="1" customWidth="1"/>
    <col min="4" max="4" width="16.50390625" style="1" bestFit="1" customWidth="1"/>
    <col min="5" max="5" width="14.00390625" style="1" bestFit="1" customWidth="1"/>
    <col min="6" max="16384" width="9.375" style="1" customWidth="1"/>
  </cols>
  <sheetData>
    <row r="1" spans="1:6" ht="23.25">
      <c r="A1" s="40" t="s">
        <v>121</v>
      </c>
      <c r="B1" s="40"/>
      <c r="C1" s="40"/>
      <c r="D1" s="40"/>
      <c r="E1" s="40"/>
      <c r="F1" s="40"/>
    </row>
    <row r="3" ht="16.5" thickBot="1">
      <c r="A3" s="1" t="s">
        <v>35</v>
      </c>
    </row>
    <row r="4" spans="1:5" ht="51" thickBot="1">
      <c r="A4" s="3" t="s">
        <v>2</v>
      </c>
      <c r="B4" s="4" t="s">
        <v>36</v>
      </c>
      <c r="C4" s="21" t="s">
        <v>37</v>
      </c>
      <c r="D4" s="21" t="s">
        <v>38</v>
      </c>
      <c r="E4" s="22" t="s">
        <v>39</v>
      </c>
    </row>
    <row r="5" spans="1:5" ht="16.5" thickBot="1">
      <c r="A5" s="23">
        <v>1</v>
      </c>
      <c r="B5" s="24">
        <v>2</v>
      </c>
      <c r="C5" s="24">
        <v>3</v>
      </c>
      <c r="D5" s="24">
        <v>4</v>
      </c>
      <c r="E5" s="25">
        <v>5</v>
      </c>
    </row>
    <row r="6" spans="1:5" ht="15.75">
      <c r="A6" s="6">
        <v>1</v>
      </c>
      <c r="B6" s="7" t="s">
        <v>12</v>
      </c>
      <c r="C6" s="7">
        <f>1/'Табл. №1'!J14</f>
        <v>3.0303030303030303</v>
      </c>
      <c r="D6" s="7">
        <f>'Табл. №1'!D14+'Табл. №1'!G14</f>
        <v>4</v>
      </c>
      <c r="E6" s="8">
        <f aca="true" t="shared" si="0" ref="E6:E15">C6*D6</f>
        <v>12.121212121212121</v>
      </c>
    </row>
    <row r="7" spans="1:5" ht="15.75">
      <c r="A7" s="9">
        <v>2</v>
      </c>
      <c r="B7" s="10" t="s">
        <v>13</v>
      </c>
      <c r="C7" s="7"/>
      <c r="D7" s="7"/>
      <c r="E7" s="11"/>
    </row>
    <row r="8" spans="1:5" ht="15.75">
      <c r="A8" s="9">
        <v>3</v>
      </c>
      <c r="B8" s="10" t="s">
        <v>14</v>
      </c>
      <c r="C8" s="7">
        <f>1/'Табл. №1'!J16</f>
        <v>20</v>
      </c>
      <c r="D8" s="7">
        <f>'Табл. №1'!D16+'Табл. №1'!G16</f>
        <v>18</v>
      </c>
      <c r="E8" s="11">
        <f t="shared" si="0"/>
        <v>360</v>
      </c>
    </row>
    <row r="9" spans="1:5" ht="15.75">
      <c r="A9" s="9">
        <v>4</v>
      </c>
      <c r="B9" s="10" t="s">
        <v>15</v>
      </c>
      <c r="C9" s="7">
        <f>1/'Табл. №1'!J17</f>
        <v>1666.6666666666667</v>
      </c>
      <c r="D9" s="7">
        <f>'Табл. №1'!D17+'Табл. №1'!G17</f>
        <v>812</v>
      </c>
      <c r="E9" s="11">
        <f t="shared" si="0"/>
        <v>1353333.3333333335</v>
      </c>
    </row>
    <row r="10" spans="1:5" ht="15.75">
      <c r="A10" s="9">
        <v>5</v>
      </c>
      <c r="B10" s="10" t="s">
        <v>16</v>
      </c>
      <c r="C10" s="7">
        <f>1/'Табл. №1'!J18</f>
        <v>500</v>
      </c>
      <c r="D10" s="7">
        <f>'Табл. №1'!D18+'Табл. №1'!G18</f>
        <v>178</v>
      </c>
      <c r="E10" s="11">
        <f t="shared" si="0"/>
        <v>89000</v>
      </c>
    </row>
    <row r="11" spans="1:5" ht="15.75">
      <c r="A11" s="9">
        <v>6</v>
      </c>
      <c r="B11" s="10" t="s">
        <v>17</v>
      </c>
      <c r="C11" s="7">
        <f>1/'Табл. №1'!J19</f>
        <v>333.3333333333333</v>
      </c>
      <c r="D11" s="7">
        <f>'Табл. №1'!D19+'Табл. №1'!G19</f>
        <v>72</v>
      </c>
      <c r="E11" s="11">
        <f t="shared" si="0"/>
        <v>24000</v>
      </c>
    </row>
    <row r="12" spans="1:5" ht="15.75">
      <c r="A12" s="9">
        <v>7</v>
      </c>
      <c r="B12" s="10" t="s">
        <v>18</v>
      </c>
      <c r="C12" s="7">
        <f>1/'Табл. №1'!J20</f>
        <v>0.2</v>
      </c>
      <c r="D12" s="7">
        <f>'Табл. №1'!D20+'Табл. №1'!G20</f>
        <v>0.5</v>
      </c>
      <c r="E12" s="11">
        <f t="shared" si="0"/>
        <v>0.1</v>
      </c>
    </row>
    <row r="13" spans="1:5" ht="15.75">
      <c r="A13" s="9">
        <v>8</v>
      </c>
      <c r="B13" s="10" t="s">
        <v>19</v>
      </c>
      <c r="C13" s="7">
        <f>1/'Табл. №1'!J21</f>
        <v>10</v>
      </c>
      <c r="D13" s="7">
        <f>'Табл. №1'!D21+'Табл. №1'!G21</f>
        <v>0.8999999999999999</v>
      </c>
      <c r="E13" s="11">
        <f t="shared" si="0"/>
        <v>9</v>
      </c>
    </row>
    <row r="14" spans="1:5" ht="15.75">
      <c r="A14" s="9">
        <v>9</v>
      </c>
      <c r="B14" s="10" t="s">
        <v>20</v>
      </c>
      <c r="C14" s="7">
        <f>1/'Табл. №1'!J22</f>
        <v>9.090909090909092</v>
      </c>
      <c r="D14" s="7">
        <f>'Табл. №1'!D22+'Табл. №1'!G22</f>
        <v>1.6</v>
      </c>
      <c r="E14" s="11">
        <f t="shared" si="0"/>
        <v>14.545454545454547</v>
      </c>
    </row>
    <row r="15" spans="1:5" ht="16.5" thickBot="1">
      <c r="A15" s="12">
        <v>10</v>
      </c>
      <c r="B15" s="13" t="s">
        <v>21</v>
      </c>
      <c r="C15" s="7">
        <f>1/'Табл. №1'!J23</f>
        <v>0.030030030030030033</v>
      </c>
      <c r="D15" s="7">
        <f>'Табл. №1'!D23+'Табл. №1'!G23</f>
        <v>0.7</v>
      </c>
      <c r="E15" s="14">
        <f t="shared" si="0"/>
        <v>0.021021021021021023</v>
      </c>
    </row>
    <row r="16" spans="1:5" ht="16.5" thickBot="1">
      <c r="A16" s="15"/>
      <c r="B16" s="16" t="s">
        <v>22</v>
      </c>
      <c r="C16" s="16"/>
      <c r="D16" s="16"/>
      <c r="E16" s="17">
        <f>SUM(E6:E15)</f>
        <v>1466729.1210210212</v>
      </c>
    </row>
  </sheetData>
  <mergeCells count="1">
    <mergeCell ref="A1:F1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4.625" style="1" bestFit="1" customWidth="1"/>
    <col min="2" max="2" width="16.125" style="1" bestFit="1" customWidth="1"/>
    <col min="3" max="3" width="11.875" style="1" customWidth="1"/>
    <col min="4" max="4" width="13.50390625" style="1" customWidth="1"/>
    <col min="5" max="5" width="13.50390625" style="1" bestFit="1" customWidth="1"/>
    <col min="6" max="6" width="14.125" style="1" customWidth="1"/>
    <col min="7" max="7" width="12.00390625" style="1" bestFit="1" customWidth="1"/>
    <col min="8" max="8" width="9.125" style="1" bestFit="1" customWidth="1"/>
    <col min="9" max="9" width="13.625" style="1" customWidth="1"/>
    <col min="10" max="10" width="13.875" style="1" customWidth="1"/>
    <col min="11" max="11" width="13.50390625" style="1" customWidth="1"/>
    <col min="12" max="12" width="15.00390625" style="1" customWidth="1"/>
    <col min="13" max="16384" width="9.375" style="1" customWidth="1"/>
  </cols>
  <sheetData>
    <row r="1" spans="1:5" ht="25.5">
      <c r="A1" s="38" t="s">
        <v>80</v>
      </c>
      <c r="E1" s="35"/>
    </row>
    <row r="2" ht="16.5" thickBot="1">
      <c r="A2" s="1" t="s">
        <v>40</v>
      </c>
    </row>
    <row r="3" spans="1:12" ht="15.75">
      <c r="A3" s="45" t="s">
        <v>2</v>
      </c>
      <c r="B3" s="41" t="s">
        <v>41</v>
      </c>
      <c r="C3" s="41" t="s">
        <v>42</v>
      </c>
      <c r="D3" s="41" t="s">
        <v>43</v>
      </c>
      <c r="E3" s="41" t="s">
        <v>44</v>
      </c>
      <c r="F3" s="47" t="s">
        <v>45</v>
      </c>
      <c r="G3" s="47"/>
      <c r="H3" s="41" t="s">
        <v>46</v>
      </c>
      <c r="I3" s="47" t="s">
        <v>47</v>
      </c>
      <c r="J3" s="47"/>
      <c r="K3" s="47"/>
      <c r="L3" s="43" t="s">
        <v>48</v>
      </c>
    </row>
    <row r="4" spans="1:12" ht="48" thickBot="1">
      <c r="A4" s="46"/>
      <c r="B4" s="42"/>
      <c r="C4" s="42"/>
      <c r="D4" s="42"/>
      <c r="E4" s="42"/>
      <c r="F4" s="2" t="s">
        <v>49</v>
      </c>
      <c r="G4" s="2" t="s">
        <v>50</v>
      </c>
      <c r="H4" s="42"/>
      <c r="I4" s="2" t="s">
        <v>117</v>
      </c>
      <c r="J4" s="2" t="s">
        <v>52</v>
      </c>
      <c r="K4" s="2" t="s">
        <v>53</v>
      </c>
      <c r="L4" s="44"/>
    </row>
    <row r="5" spans="1:12" ht="16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5">
        <v>12</v>
      </c>
    </row>
    <row r="6" spans="1:12" ht="15.75">
      <c r="A6" s="6">
        <v>1</v>
      </c>
      <c r="B6" s="7" t="s">
        <v>12</v>
      </c>
      <c r="C6" s="7">
        <f>'Табл. №1'!I14</f>
        <v>22</v>
      </c>
      <c r="D6" s="7">
        <f>'Табл. №3'!E6</f>
        <v>12.121212121212121</v>
      </c>
      <c r="E6" s="7">
        <f aca="true" t="shared" si="0" ref="E6:E15">C6-(C6*5%)</f>
        <v>20.9</v>
      </c>
      <c r="F6" s="7">
        <f>E6-D6</f>
        <v>8.778787878787877</v>
      </c>
      <c r="G6" s="7">
        <f aca="true" t="shared" si="1" ref="G6:G15">C6-E6</f>
        <v>1.1000000000000014</v>
      </c>
      <c r="H6" s="7">
        <v>730</v>
      </c>
      <c r="I6" s="7">
        <f aca="true" t="shared" si="2" ref="I6:I15">D6*H6</f>
        <v>8848.484848484848</v>
      </c>
      <c r="J6" s="7">
        <f aca="true" t="shared" si="3" ref="J6:J15">F6*H6*5</f>
        <v>32042.575757575753</v>
      </c>
      <c r="K6" s="7">
        <f aca="true" t="shared" si="4" ref="K6:K15">G6*H6*25</f>
        <v>20075.000000000025</v>
      </c>
      <c r="L6" s="8">
        <f aca="true" t="shared" si="5" ref="L6:L15">I6+J6+K6</f>
        <v>60966.06060606062</v>
      </c>
    </row>
    <row r="7" spans="1:12" ht="15.75">
      <c r="A7" s="9">
        <v>2</v>
      </c>
      <c r="B7" s="10" t="s">
        <v>54</v>
      </c>
      <c r="C7" s="7"/>
      <c r="D7" s="7"/>
      <c r="E7" s="10"/>
      <c r="F7" s="7"/>
      <c r="G7" s="7"/>
      <c r="H7" s="10"/>
      <c r="I7" s="10"/>
      <c r="J7" s="10"/>
      <c r="K7" s="10"/>
      <c r="L7" s="11"/>
    </row>
    <row r="8" spans="1:12" ht="15.75">
      <c r="A8" s="9">
        <v>3</v>
      </c>
      <c r="B8" s="10" t="s">
        <v>55</v>
      </c>
      <c r="C8" s="7">
        <f>'Табл. №1'!I16</f>
        <v>369</v>
      </c>
      <c r="D8" s="7">
        <f>'Табл. №3'!E8</f>
        <v>360</v>
      </c>
      <c r="E8" s="10">
        <f t="shared" si="0"/>
        <v>350.55</v>
      </c>
      <c r="F8" s="7">
        <v>0</v>
      </c>
      <c r="G8" s="7">
        <f t="shared" si="1"/>
        <v>18.44999999999999</v>
      </c>
      <c r="H8" s="10">
        <v>2950</v>
      </c>
      <c r="I8" s="10">
        <f t="shared" si="2"/>
        <v>1062000</v>
      </c>
      <c r="J8" s="10">
        <f t="shared" si="3"/>
        <v>0</v>
      </c>
      <c r="K8" s="10">
        <f t="shared" si="4"/>
        <v>1360687.499999999</v>
      </c>
      <c r="L8" s="11">
        <f t="shared" si="5"/>
        <v>2422687.499999999</v>
      </c>
    </row>
    <row r="9" spans="1:12" ht="15.75">
      <c r="A9" s="9">
        <v>4</v>
      </c>
      <c r="B9" s="10" t="s">
        <v>56</v>
      </c>
      <c r="C9" s="7">
        <f>'Табл. №1'!I17</f>
        <v>299762</v>
      </c>
      <c r="D9" s="7">
        <f>'Табл. №3'!E9</f>
        <v>1353333.3333333335</v>
      </c>
      <c r="E9" s="10"/>
      <c r="F9" s="7">
        <v>0</v>
      </c>
      <c r="G9" s="7"/>
      <c r="H9" s="10">
        <v>2</v>
      </c>
      <c r="I9" s="10"/>
      <c r="J9" s="10"/>
      <c r="K9" s="10"/>
      <c r="L9" s="11">
        <f>H9*C9</f>
        <v>599524</v>
      </c>
    </row>
    <row r="10" spans="1:12" ht="15.75">
      <c r="A10" s="9">
        <v>5</v>
      </c>
      <c r="B10" s="10" t="s">
        <v>16</v>
      </c>
      <c r="C10" s="7">
        <f>'Табл. №1'!I18</f>
        <v>14136</v>
      </c>
      <c r="D10" s="7">
        <f>'Табл. №3'!E10</f>
        <v>89000</v>
      </c>
      <c r="E10" s="10"/>
      <c r="F10" s="7"/>
      <c r="G10" s="7"/>
      <c r="H10" s="10">
        <v>20</v>
      </c>
      <c r="I10" s="10"/>
      <c r="J10" s="10"/>
      <c r="K10" s="10"/>
      <c r="L10" s="11">
        <f>H10*C10</f>
        <v>282720</v>
      </c>
    </row>
    <row r="11" spans="1:12" ht="15.75">
      <c r="A11" s="9">
        <v>6</v>
      </c>
      <c r="B11" s="10" t="s">
        <v>17</v>
      </c>
      <c r="C11" s="7">
        <f>'Табл. №1'!I19</f>
        <v>5090.6</v>
      </c>
      <c r="D11" s="7">
        <f>'Табл. №3'!E11</f>
        <v>24000</v>
      </c>
      <c r="E11" s="10"/>
      <c r="F11" s="7"/>
      <c r="G11" s="7"/>
      <c r="H11" s="10">
        <v>7</v>
      </c>
      <c r="I11" s="10"/>
      <c r="J11" s="10"/>
      <c r="K11" s="10"/>
      <c r="L11" s="11">
        <f>C11*H11</f>
        <v>35634.200000000004</v>
      </c>
    </row>
    <row r="12" spans="1:12" ht="15.75">
      <c r="A12" s="9">
        <v>7</v>
      </c>
      <c r="B12" s="10" t="s">
        <v>57</v>
      </c>
      <c r="C12" s="7">
        <f>'Табл. №1'!I20</f>
        <v>0.135</v>
      </c>
      <c r="D12" s="7">
        <f>'Табл. №3'!E12</f>
        <v>0.1</v>
      </c>
      <c r="E12" s="10">
        <f t="shared" si="0"/>
        <v>0.12825</v>
      </c>
      <c r="F12" s="7">
        <f>E12-D12</f>
        <v>0.028249999999999997</v>
      </c>
      <c r="G12" s="7">
        <f t="shared" si="1"/>
        <v>0.006750000000000006</v>
      </c>
      <c r="H12" s="10">
        <v>22175</v>
      </c>
      <c r="I12" s="10">
        <f t="shared" si="2"/>
        <v>2217.5</v>
      </c>
      <c r="J12" s="10">
        <f t="shared" si="3"/>
        <v>3132.2187499999995</v>
      </c>
      <c r="K12" s="10">
        <f t="shared" si="4"/>
        <v>3742.031250000003</v>
      </c>
      <c r="L12" s="11">
        <f t="shared" si="5"/>
        <v>9091.750000000004</v>
      </c>
    </row>
    <row r="13" spans="1:12" ht="15.75">
      <c r="A13" s="9">
        <v>8</v>
      </c>
      <c r="B13" s="10" t="s">
        <v>19</v>
      </c>
      <c r="C13" s="7">
        <f>'Табл. №1'!I21</f>
        <v>9.45</v>
      </c>
      <c r="D13" s="7">
        <f>'Табл. №3'!E13</f>
        <v>9</v>
      </c>
      <c r="E13" s="10">
        <f t="shared" si="0"/>
        <v>8.9775</v>
      </c>
      <c r="F13" s="7">
        <v>0</v>
      </c>
      <c r="G13" s="7">
        <f t="shared" si="1"/>
        <v>0.47250000000000014</v>
      </c>
      <c r="H13" s="10">
        <v>245</v>
      </c>
      <c r="I13" s="10">
        <f t="shared" si="2"/>
        <v>2205</v>
      </c>
      <c r="J13" s="10">
        <f t="shared" si="3"/>
        <v>0</v>
      </c>
      <c r="K13" s="10">
        <f t="shared" si="4"/>
        <v>2894.062500000001</v>
      </c>
      <c r="L13" s="11">
        <f t="shared" si="5"/>
        <v>5099.062500000001</v>
      </c>
    </row>
    <row r="14" spans="1:12" ht="15.75">
      <c r="A14" s="9">
        <v>9</v>
      </c>
      <c r="B14" s="10" t="s">
        <v>58</v>
      </c>
      <c r="C14" s="7">
        <f>'Табл. №1'!I22</f>
        <v>0.688</v>
      </c>
      <c r="D14" s="7">
        <f>'Табл. №3'!E14</f>
        <v>14.545454545454547</v>
      </c>
      <c r="E14" s="10"/>
      <c r="F14" s="7"/>
      <c r="G14" s="7"/>
      <c r="H14" s="10">
        <v>5545</v>
      </c>
      <c r="I14" s="10"/>
      <c r="J14" s="10"/>
      <c r="K14" s="10"/>
      <c r="L14" s="11">
        <f>C14*H14</f>
        <v>3814.9599999999996</v>
      </c>
    </row>
    <row r="15" spans="1:12" ht="16.5" thickBot="1">
      <c r="A15" s="12">
        <v>10</v>
      </c>
      <c r="B15" s="13" t="s">
        <v>59</v>
      </c>
      <c r="C15" s="7">
        <f>'Табл. №1'!I23</f>
        <v>0.253</v>
      </c>
      <c r="D15" s="7">
        <f>'Табл. №3'!E15</f>
        <v>0.021021021021021023</v>
      </c>
      <c r="E15" s="13">
        <f t="shared" si="0"/>
        <v>0.24035</v>
      </c>
      <c r="F15" s="7">
        <f>E15-D15</f>
        <v>0.219328978978979</v>
      </c>
      <c r="G15" s="7">
        <f t="shared" si="1"/>
        <v>0.012649999999999995</v>
      </c>
      <c r="H15" s="13">
        <v>22175</v>
      </c>
      <c r="I15" s="13">
        <f t="shared" si="2"/>
        <v>466.1411411411412</v>
      </c>
      <c r="J15" s="13">
        <f t="shared" si="3"/>
        <v>24318.10054429429</v>
      </c>
      <c r="K15" s="13">
        <f t="shared" si="4"/>
        <v>7012.843749999997</v>
      </c>
      <c r="L15" s="14">
        <f t="shared" si="5"/>
        <v>31797.08543543543</v>
      </c>
    </row>
    <row r="16" spans="1:12" ht="16.5" thickBot="1">
      <c r="A16" s="15"/>
      <c r="B16" s="16" t="s">
        <v>22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f>ROUND(SUM(L6:L15),2)</f>
        <v>3451334.62</v>
      </c>
    </row>
    <row r="17" spans="1:6" ht="15.75">
      <c r="A17" s="28"/>
      <c r="B17" s="28" t="str">
        <f>CONCATENATE("Поправочный коэффициент - ",B22)</f>
        <v>Поправочный коэффициент - 30</v>
      </c>
      <c r="C17" s="28"/>
      <c r="D17" s="28"/>
      <c r="E17" s="28"/>
      <c r="F17" s="28"/>
    </row>
    <row r="18" ht="15.75">
      <c r="B18" s="1" t="str">
        <f>CONCATENATE("Плата = ",L16,"*1,125*",B22," = ",ROUND((L16*1.125*B22),2)," руб")</f>
        <v>Плата = 3451334,62*1,125*30 = 116482543,43 руб</v>
      </c>
    </row>
    <row r="19" ht="15.75">
      <c r="B19" s="1" t="str">
        <f>CONCATENATE(" 10% - ",ROUND((0.1*L16*1.125*B22),2)," (руб) в бюджет России")</f>
        <v> 10% - 11648254,34 (руб) в бюджет России</v>
      </c>
    </row>
    <row r="20" ht="15.75">
      <c r="B20" s="1" t="str">
        <f>CONCATENATE(" 90% - ",ROUND((0.9*L16*1.125*B22),2)," (руб) в областной экологический фонд")</f>
        <v> 90% - 104834289,08 (руб) в областной экологический фонд</v>
      </c>
    </row>
    <row r="22" spans="1:2" ht="15.75">
      <c r="A22" s="1" t="s">
        <v>96</v>
      </c>
      <c r="B22" s="1">
        <v>30</v>
      </c>
    </row>
    <row r="23" spans="1:4" ht="15.75">
      <c r="A23" s="1" t="s">
        <v>91</v>
      </c>
      <c r="B23" s="1">
        <f>ROUND((L16*1.125*30),2)</f>
        <v>116482543.43</v>
      </c>
      <c r="D23" s="1">
        <v>116482543.4</v>
      </c>
    </row>
    <row r="24" ht="15.75">
      <c r="H24" s="1">
        <f>(1.09+1.16)/2</f>
        <v>1.125</v>
      </c>
    </row>
  </sheetData>
  <mergeCells count="9">
    <mergeCell ref="L3:L4"/>
    <mergeCell ref="E3:E4"/>
    <mergeCell ref="F3:G3"/>
    <mergeCell ref="H3:H4"/>
    <mergeCell ref="I3:K3"/>
    <mergeCell ref="A3:A4"/>
    <mergeCell ref="B3:B4"/>
    <mergeCell ref="C3:C4"/>
    <mergeCell ref="D3:D4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30.50390625" style="1" bestFit="1" customWidth="1"/>
    <col min="3" max="3" width="16.00390625" style="1" bestFit="1" customWidth="1"/>
    <col min="4" max="4" width="18.375" style="1" bestFit="1" customWidth="1"/>
    <col min="5" max="5" width="16.00390625" style="1" bestFit="1" customWidth="1"/>
    <col min="6" max="16384" width="9.375" style="1" customWidth="1"/>
  </cols>
  <sheetData>
    <row r="1" ht="20.25">
      <c r="A1" s="38" t="s">
        <v>60</v>
      </c>
    </row>
    <row r="2" ht="18.75">
      <c r="A2" s="39" t="s">
        <v>61</v>
      </c>
    </row>
    <row r="3" ht="16.5" thickBot="1">
      <c r="A3" s="1" t="s">
        <v>62</v>
      </c>
    </row>
    <row r="4" spans="1:5" ht="63.75" thickBot="1">
      <c r="A4" s="3" t="s">
        <v>2</v>
      </c>
      <c r="B4" s="4" t="s">
        <v>36</v>
      </c>
      <c r="C4" s="21" t="s">
        <v>65</v>
      </c>
      <c r="D4" s="21" t="s">
        <v>63</v>
      </c>
      <c r="E4" s="22" t="s">
        <v>64</v>
      </c>
    </row>
    <row r="5" spans="1:5" ht="16.5" thickBot="1">
      <c r="A5" s="3">
        <v>1</v>
      </c>
      <c r="B5" s="4">
        <v>2</v>
      </c>
      <c r="C5" s="4">
        <v>3</v>
      </c>
      <c r="D5" s="4">
        <v>4</v>
      </c>
      <c r="E5" s="5">
        <v>5</v>
      </c>
    </row>
    <row r="6" spans="1:5" ht="15.75">
      <c r="A6" s="6">
        <v>1</v>
      </c>
      <c r="B6" s="7" t="s">
        <v>30</v>
      </c>
      <c r="C6" s="7">
        <f>1/'Табл. №2'!D11</f>
        <v>0.05</v>
      </c>
      <c r="D6" s="7">
        <f>'Табл. №2'!C11</f>
        <v>300</v>
      </c>
      <c r="E6" s="8">
        <f aca="true" t="shared" si="0" ref="E6:E12">C6*D6</f>
        <v>15</v>
      </c>
    </row>
    <row r="7" spans="1:5" ht="15.75">
      <c r="A7" s="9">
        <v>2</v>
      </c>
      <c r="B7" s="10" t="s">
        <v>31</v>
      </c>
      <c r="C7" s="7">
        <f>1/'Табл. №2'!D12</f>
        <v>0.014285714285714285</v>
      </c>
      <c r="D7" s="7">
        <f>'Табл. №2'!C12</f>
        <v>1100</v>
      </c>
      <c r="E7" s="11">
        <f t="shared" si="0"/>
        <v>15.714285714285714</v>
      </c>
    </row>
    <row r="8" spans="1:5" ht="15.75">
      <c r="A8" s="9">
        <v>3</v>
      </c>
      <c r="B8" s="10" t="s">
        <v>32</v>
      </c>
      <c r="C8" s="7">
        <f>1/'Табл. №2'!D13</f>
        <v>0.025</v>
      </c>
      <c r="D8" s="7">
        <f>'Табл. №2'!C13</f>
        <v>2300</v>
      </c>
      <c r="E8" s="11">
        <f t="shared" si="0"/>
        <v>57.5</v>
      </c>
    </row>
    <row r="9" spans="1:5" ht="15.75">
      <c r="A9" s="9">
        <v>4</v>
      </c>
      <c r="B9" s="10" t="s">
        <v>33</v>
      </c>
      <c r="C9" s="7">
        <f>1/'Табл. №2'!D14</f>
        <v>0.14992503748125938</v>
      </c>
      <c r="D9" s="7">
        <f>'Табл. №2'!C14</f>
        <v>10</v>
      </c>
      <c r="E9" s="11">
        <f t="shared" si="0"/>
        <v>1.4992503748125938</v>
      </c>
    </row>
    <row r="10" spans="1:5" ht="15.75">
      <c r="A10" s="9">
        <v>5</v>
      </c>
      <c r="B10" s="10" t="s">
        <v>28</v>
      </c>
      <c r="C10" s="7">
        <f>1/'Табл. №2'!D15</f>
        <v>0.05</v>
      </c>
      <c r="D10" s="7">
        <f>'Табл. №2'!C15</f>
        <v>169.26</v>
      </c>
      <c r="E10" s="11">
        <f t="shared" si="0"/>
        <v>8.463</v>
      </c>
    </row>
    <row r="11" spans="1:5" ht="15.75">
      <c r="A11" s="9">
        <v>6</v>
      </c>
      <c r="B11" s="10" t="s">
        <v>29</v>
      </c>
      <c r="C11" s="7">
        <f>1/'Табл. №2'!D16</f>
        <v>0.05</v>
      </c>
      <c r="D11" s="7">
        <f>'Табл. №2'!C16</f>
        <v>11335.171</v>
      </c>
      <c r="E11" s="11">
        <f t="shared" si="0"/>
        <v>566.75855</v>
      </c>
    </row>
    <row r="12" spans="1:5" ht="16.5" thickBot="1">
      <c r="A12" s="12">
        <v>7</v>
      </c>
      <c r="B12" s="13" t="s">
        <v>34</v>
      </c>
      <c r="C12" s="7">
        <f>1/'Табл. №2'!D17</f>
        <v>0.04</v>
      </c>
      <c r="D12" s="7">
        <f>'Табл. №2'!C17</f>
        <v>2696.371</v>
      </c>
      <c r="E12" s="14">
        <f t="shared" si="0"/>
        <v>107.85484000000001</v>
      </c>
    </row>
    <row r="13" spans="1:5" ht="16.5" thickBot="1">
      <c r="A13" s="15"/>
      <c r="B13" s="16" t="s">
        <v>22</v>
      </c>
      <c r="C13" s="16"/>
      <c r="D13" s="16"/>
      <c r="E13" s="17">
        <f>ROUND(SUM(E6:E12),4)</f>
        <v>772.7899</v>
      </c>
    </row>
  </sheetData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4.625" style="1" customWidth="1"/>
    <col min="2" max="2" width="28.00390625" style="1" customWidth="1"/>
    <col min="3" max="3" width="10.125" style="1" customWidth="1"/>
    <col min="4" max="8" width="9.375" style="1" customWidth="1"/>
    <col min="9" max="9" width="16.00390625" style="1" bestFit="1" customWidth="1"/>
    <col min="10" max="10" width="13.375" style="1" bestFit="1" customWidth="1"/>
    <col min="11" max="11" width="12.125" style="1" bestFit="1" customWidth="1"/>
    <col min="12" max="12" width="14.125" style="1" customWidth="1"/>
    <col min="13" max="16384" width="9.375" style="1" customWidth="1"/>
  </cols>
  <sheetData>
    <row r="1" spans="1:7" ht="25.5">
      <c r="A1" s="38" t="s">
        <v>81</v>
      </c>
      <c r="G1" s="35"/>
    </row>
    <row r="2" ht="16.5" thickBot="1">
      <c r="B2" s="1" t="s">
        <v>66</v>
      </c>
    </row>
    <row r="3" spans="1:12" ht="15.75">
      <c r="A3" s="45" t="s">
        <v>2</v>
      </c>
      <c r="B3" s="41" t="s">
        <v>41</v>
      </c>
      <c r="C3" s="41" t="s">
        <v>97</v>
      </c>
      <c r="D3" s="41" t="s">
        <v>67</v>
      </c>
      <c r="E3" s="41" t="s">
        <v>68</v>
      </c>
      <c r="F3" s="47" t="s">
        <v>45</v>
      </c>
      <c r="G3" s="47"/>
      <c r="H3" s="41" t="s">
        <v>46</v>
      </c>
      <c r="I3" s="47" t="s">
        <v>47</v>
      </c>
      <c r="J3" s="47"/>
      <c r="K3" s="47"/>
      <c r="L3" s="43" t="s">
        <v>69</v>
      </c>
    </row>
    <row r="4" spans="1:12" ht="48" thickBot="1">
      <c r="A4" s="46"/>
      <c r="B4" s="42"/>
      <c r="C4" s="42"/>
      <c r="D4" s="42"/>
      <c r="E4" s="42"/>
      <c r="F4" s="2" t="s">
        <v>70</v>
      </c>
      <c r="G4" s="2" t="s">
        <v>71</v>
      </c>
      <c r="H4" s="42"/>
      <c r="I4" s="2" t="s">
        <v>72</v>
      </c>
      <c r="J4" s="2" t="s">
        <v>73</v>
      </c>
      <c r="K4" s="2" t="s">
        <v>74</v>
      </c>
      <c r="L4" s="44"/>
    </row>
    <row r="5" spans="1:12" ht="16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5">
        <v>12</v>
      </c>
    </row>
    <row r="6" spans="1:12" ht="15.75">
      <c r="A6" s="6">
        <v>1</v>
      </c>
      <c r="B6" s="7" t="s">
        <v>30</v>
      </c>
      <c r="C6" s="7">
        <f>'Табл. №2'!C11</f>
        <v>300</v>
      </c>
      <c r="D6" s="7">
        <f>'Табл. №5'!E6</f>
        <v>15</v>
      </c>
      <c r="E6" s="7">
        <f aca="true" t="shared" si="0" ref="E6:E12">C6-(C6*5%)</f>
        <v>285</v>
      </c>
      <c r="F6" s="7">
        <f>E6-D6</f>
        <v>270</v>
      </c>
      <c r="G6" s="7">
        <f aca="true" t="shared" si="1" ref="G6:G12">C6-E6</f>
        <v>15</v>
      </c>
      <c r="H6" s="7">
        <v>330</v>
      </c>
      <c r="I6" s="7">
        <f aca="true" t="shared" si="2" ref="I6:I12">D6*H6</f>
        <v>4950</v>
      </c>
      <c r="J6" s="7">
        <f aca="true" t="shared" si="3" ref="J6:J12">F6*H6*5</f>
        <v>445500</v>
      </c>
      <c r="K6" s="7">
        <f aca="true" t="shared" si="4" ref="K6:K12">G6*H6*25</f>
        <v>123750</v>
      </c>
      <c r="L6" s="8">
        <f aca="true" t="shared" si="5" ref="L6:L12">I6+J6+K6</f>
        <v>574200</v>
      </c>
    </row>
    <row r="7" spans="1:12" ht="15.75">
      <c r="A7" s="9">
        <v>2</v>
      </c>
      <c r="B7" s="10" t="s">
        <v>31</v>
      </c>
      <c r="C7" s="7">
        <f>'Табл. №2'!C12</f>
        <v>1100</v>
      </c>
      <c r="D7" s="7">
        <f>'Табл. №5'!E7</f>
        <v>15.714285714285714</v>
      </c>
      <c r="E7" s="10">
        <f t="shared" si="0"/>
        <v>1045</v>
      </c>
      <c r="F7" s="10">
        <v>0</v>
      </c>
      <c r="G7" s="10">
        <f t="shared" si="1"/>
        <v>55</v>
      </c>
      <c r="H7" s="10">
        <v>825</v>
      </c>
      <c r="I7" s="10">
        <f t="shared" si="2"/>
        <v>12964.285714285714</v>
      </c>
      <c r="J7" s="10">
        <f t="shared" si="3"/>
        <v>0</v>
      </c>
      <c r="K7" s="10">
        <f t="shared" si="4"/>
        <v>1134375</v>
      </c>
      <c r="L7" s="11">
        <f t="shared" si="5"/>
        <v>1147339.2857142857</v>
      </c>
    </row>
    <row r="8" spans="1:12" ht="15.75">
      <c r="A8" s="9">
        <v>3</v>
      </c>
      <c r="B8" s="10" t="s">
        <v>32</v>
      </c>
      <c r="C8" s="7">
        <f>'Табл. №2'!C13</f>
        <v>2300</v>
      </c>
      <c r="D8" s="7">
        <f>'Табл. №5'!E8</f>
        <v>57.5</v>
      </c>
      <c r="E8" s="10">
        <f t="shared" si="0"/>
        <v>2185</v>
      </c>
      <c r="F8" s="10">
        <f>E8-D8</f>
        <v>2127.5</v>
      </c>
      <c r="G8" s="10">
        <f t="shared" si="1"/>
        <v>115</v>
      </c>
      <c r="H8" s="10">
        <v>110</v>
      </c>
      <c r="I8" s="10">
        <f t="shared" si="2"/>
        <v>6325</v>
      </c>
      <c r="J8" s="10">
        <f t="shared" si="3"/>
        <v>1170125</v>
      </c>
      <c r="K8" s="10">
        <f t="shared" si="4"/>
        <v>316250</v>
      </c>
      <c r="L8" s="11">
        <f t="shared" si="5"/>
        <v>1492700</v>
      </c>
    </row>
    <row r="9" spans="1:12" ht="15.75">
      <c r="A9" s="9">
        <v>4</v>
      </c>
      <c r="B9" s="10" t="s">
        <v>33</v>
      </c>
      <c r="C9" s="7">
        <f>'Табл. №2'!C14</f>
        <v>10</v>
      </c>
      <c r="D9" s="7">
        <f>'Табл. №5'!E9</f>
        <v>1.4992503748125938</v>
      </c>
      <c r="E9" s="10">
        <f t="shared" si="0"/>
        <v>9.5</v>
      </c>
      <c r="F9" s="10">
        <f>E9-D9</f>
        <v>8.000749625187407</v>
      </c>
      <c r="G9" s="10">
        <f t="shared" si="1"/>
        <v>0.5</v>
      </c>
      <c r="H9" s="10">
        <v>550</v>
      </c>
      <c r="I9" s="10">
        <f t="shared" si="2"/>
        <v>824.5877061469266</v>
      </c>
      <c r="J9" s="10">
        <f t="shared" si="3"/>
        <v>22002.06146926537</v>
      </c>
      <c r="K9" s="10">
        <f t="shared" si="4"/>
        <v>6875</v>
      </c>
      <c r="L9" s="11">
        <f t="shared" si="5"/>
        <v>29701.649175412294</v>
      </c>
    </row>
    <row r="10" spans="1:12" ht="15.75">
      <c r="A10" s="9">
        <v>5</v>
      </c>
      <c r="B10" s="10" t="s">
        <v>28</v>
      </c>
      <c r="C10" s="7">
        <f>'Табл. №2'!C15</f>
        <v>169.26</v>
      </c>
      <c r="D10" s="7">
        <f>'Табл. №5'!E10</f>
        <v>8.463</v>
      </c>
      <c r="E10" s="10">
        <f t="shared" si="0"/>
        <v>160.797</v>
      </c>
      <c r="F10" s="10">
        <v>0</v>
      </c>
      <c r="G10" s="10">
        <f t="shared" si="1"/>
        <v>8.462999999999994</v>
      </c>
      <c r="H10" s="10">
        <v>330</v>
      </c>
      <c r="I10" s="10">
        <f t="shared" si="2"/>
        <v>2792.7899999999995</v>
      </c>
      <c r="J10" s="10">
        <f t="shared" si="3"/>
        <v>0</v>
      </c>
      <c r="K10" s="10">
        <f t="shared" si="4"/>
        <v>69819.74999999996</v>
      </c>
      <c r="L10" s="11">
        <f t="shared" si="5"/>
        <v>72612.53999999995</v>
      </c>
    </row>
    <row r="11" spans="1:12" ht="15.75">
      <c r="A11" s="9">
        <v>6</v>
      </c>
      <c r="B11" s="10" t="s">
        <v>29</v>
      </c>
      <c r="C11" s="7">
        <f>'Табл. №2'!C16</f>
        <v>11335.171</v>
      </c>
      <c r="D11" s="7">
        <f>'Табл. №5'!E11</f>
        <v>566.75855</v>
      </c>
      <c r="E11" s="10">
        <f t="shared" si="0"/>
        <v>10768.41245</v>
      </c>
      <c r="F11" s="10">
        <f>E11-D11</f>
        <v>10201.6539</v>
      </c>
      <c r="G11" s="10">
        <f t="shared" si="1"/>
        <v>566.7585500000005</v>
      </c>
      <c r="H11" s="10">
        <v>165</v>
      </c>
      <c r="I11" s="10">
        <f t="shared" si="2"/>
        <v>93515.16075</v>
      </c>
      <c r="J11" s="10">
        <f t="shared" si="3"/>
        <v>8416364.4675</v>
      </c>
      <c r="K11" s="10">
        <f t="shared" si="4"/>
        <v>2337879.018750002</v>
      </c>
      <c r="L11" s="11">
        <f t="shared" si="5"/>
        <v>10847758.647000002</v>
      </c>
    </row>
    <row r="12" spans="1:12" ht="16.5" thickBot="1">
      <c r="A12" s="12">
        <v>7</v>
      </c>
      <c r="B12" s="13" t="s">
        <v>34</v>
      </c>
      <c r="C12" s="7">
        <f>'Табл. №2'!C17</f>
        <v>2696.371</v>
      </c>
      <c r="D12" s="7">
        <f>'Табл. №5'!E12</f>
        <v>107.85484000000001</v>
      </c>
      <c r="E12" s="13">
        <f t="shared" si="0"/>
        <v>2561.55245</v>
      </c>
      <c r="F12" s="13">
        <f>E12-D12</f>
        <v>2453.69761</v>
      </c>
      <c r="G12" s="13">
        <f t="shared" si="1"/>
        <v>134.81854999999996</v>
      </c>
      <c r="H12" s="13">
        <v>415</v>
      </c>
      <c r="I12" s="13">
        <f t="shared" si="2"/>
        <v>44759.7586</v>
      </c>
      <c r="J12" s="13">
        <f t="shared" si="3"/>
        <v>5091422.540750001</v>
      </c>
      <c r="K12" s="13">
        <f t="shared" si="4"/>
        <v>1398742.4562499996</v>
      </c>
      <c r="L12" s="14">
        <f t="shared" si="5"/>
        <v>6534924.755600001</v>
      </c>
    </row>
    <row r="13" spans="1:12" ht="16.5" thickBot="1">
      <c r="A13" s="15"/>
      <c r="B13" s="16" t="s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f>ROUND(SUM(L6:L12),2)</f>
        <v>20699236.88</v>
      </c>
    </row>
    <row r="14" ht="16.5" customHeight="1">
      <c r="J14" s="35"/>
    </row>
    <row r="15" ht="15.75">
      <c r="B15" s="1" t="str">
        <f>CONCATENATE("Плата = ",L13,"*1,2*42 = ",B19," руб")</f>
        <v>Плата = 20699236,88*1,2*42 = 1043241538,75 руб</v>
      </c>
    </row>
    <row r="16" ht="15.75">
      <c r="B16" s="1" t="str">
        <f>CONCATENATE(" 10% - ",ROUND((L13*1.2*0.1*42),2)," (руб) в бюджет России")</f>
        <v> 10% - 104324153,88 (руб) в бюджет России</v>
      </c>
    </row>
    <row r="17" ht="15.75">
      <c r="B17" s="1" t="str">
        <f>CONCATENATE(" 90% - ",ROUND((L13*1.2*42*0.9),2)," (руб) в областной экологический фонд")</f>
        <v> 90% - 938917384,88 (руб) в областной экологический фонд</v>
      </c>
    </row>
    <row r="19" spans="1:2" ht="15.75">
      <c r="A19" s="1" t="s">
        <v>91</v>
      </c>
      <c r="B19" s="1">
        <f>ROUND((L13*1.2*42),2)</f>
        <v>1043241538.75</v>
      </c>
    </row>
    <row r="20" ht="15.75">
      <c r="B20" s="1">
        <v>1043241538.75</v>
      </c>
    </row>
  </sheetData>
  <mergeCells count="9">
    <mergeCell ref="A3:A4"/>
    <mergeCell ref="B3:B4"/>
    <mergeCell ref="C3:C4"/>
    <mergeCell ref="D3:D4"/>
    <mergeCell ref="L3:L4"/>
    <mergeCell ref="E3:E4"/>
    <mergeCell ref="F3:G3"/>
    <mergeCell ref="H3:H4"/>
    <mergeCell ref="I3:K3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625" style="1" customWidth="1"/>
    <col min="2" max="2" width="22.875" style="1" bestFit="1" customWidth="1"/>
    <col min="3" max="3" width="13.875" style="1" customWidth="1"/>
    <col min="4" max="4" width="11.875" style="1" customWidth="1"/>
    <col min="5" max="5" width="10.50390625" style="1" bestFit="1" customWidth="1"/>
    <col min="6" max="6" width="10.625" style="1" customWidth="1"/>
    <col min="7" max="7" width="9.375" style="1" customWidth="1"/>
    <col min="8" max="8" width="11.50390625" style="1" customWidth="1"/>
    <col min="9" max="9" width="11.875" style="1" bestFit="1" customWidth="1"/>
    <col min="10" max="10" width="15.625" style="1" bestFit="1" customWidth="1"/>
    <col min="11" max="11" width="14.00390625" style="1" customWidth="1"/>
    <col min="12" max="16384" width="9.375" style="1" customWidth="1"/>
  </cols>
  <sheetData>
    <row r="1" spans="1:11" ht="23.25">
      <c r="A1" s="40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6.5" thickBot="1">
      <c r="A2" s="1" t="s">
        <v>75</v>
      </c>
    </row>
    <row r="3" spans="1:11" ht="15.75">
      <c r="A3" s="45" t="s">
        <v>2</v>
      </c>
      <c r="B3" s="41" t="s">
        <v>3</v>
      </c>
      <c r="C3" s="47" t="s">
        <v>4</v>
      </c>
      <c r="D3" s="47"/>
      <c r="E3" s="47"/>
      <c r="F3" s="47" t="s">
        <v>5</v>
      </c>
      <c r="G3" s="47"/>
      <c r="H3" s="47"/>
      <c r="I3" s="41" t="s">
        <v>6</v>
      </c>
      <c r="J3" s="41" t="s">
        <v>7</v>
      </c>
      <c r="K3" s="43" t="s">
        <v>8</v>
      </c>
    </row>
    <row r="4" spans="1:11" ht="84" customHeight="1" thickBot="1">
      <c r="A4" s="46"/>
      <c r="B4" s="42"/>
      <c r="C4" s="2" t="s">
        <v>9</v>
      </c>
      <c r="D4" s="2" t="s">
        <v>10</v>
      </c>
      <c r="E4" s="2" t="s">
        <v>11</v>
      </c>
      <c r="F4" s="2" t="s">
        <v>9</v>
      </c>
      <c r="G4" s="2" t="s">
        <v>10</v>
      </c>
      <c r="H4" s="2" t="s">
        <v>11</v>
      </c>
      <c r="I4" s="42"/>
      <c r="J4" s="42"/>
      <c r="K4" s="44"/>
    </row>
    <row r="5" spans="1:11" ht="16.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5">
        <v>11</v>
      </c>
    </row>
    <row r="6" spans="1:11" ht="15.75">
      <c r="A6" s="6">
        <v>1</v>
      </c>
      <c r="B6" s="7" t="s">
        <v>12</v>
      </c>
      <c r="C6" s="7">
        <f>'Табл. №1'!C14</f>
        <v>6</v>
      </c>
      <c r="D6" s="7">
        <f>'Табл. №1'!D14</f>
        <v>3</v>
      </c>
      <c r="E6" s="7">
        <f aca="true" t="shared" si="0" ref="E6:E13">C6*D6</f>
        <v>18</v>
      </c>
      <c r="F6" s="7">
        <f>'Табл. №1'!F14</f>
        <v>4</v>
      </c>
      <c r="G6" s="7">
        <f>'Табл. №1'!G14</f>
        <v>1</v>
      </c>
      <c r="H6" s="7">
        <f aca="true" t="shared" si="1" ref="H6:H15">F6*G6</f>
        <v>4</v>
      </c>
      <c r="I6" s="7">
        <f aca="true" t="shared" si="2" ref="I6:I15">E6+H6</f>
        <v>22</v>
      </c>
      <c r="J6" s="7">
        <f>'Табл. №1'!J14</f>
        <v>0.33</v>
      </c>
      <c r="K6" s="8">
        <f aca="true" t="shared" si="3" ref="K6:K15">I6*J6</f>
        <v>7.260000000000001</v>
      </c>
    </row>
    <row r="7" spans="1:11" ht="15.75">
      <c r="A7" s="9">
        <v>2</v>
      </c>
      <c r="B7" s="10" t="s">
        <v>13</v>
      </c>
      <c r="C7" s="7"/>
      <c r="D7" s="7"/>
      <c r="E7" s="10"/>
      <c r="F7" s="7"/>
      <c r="G7" s="7"/>
      <c r="H7" s="7"/>
      <c r="I7" s="7"/>
      <c r="J7" s="7"/>
      <c r="K7" s="8"/>
    </row>
    <row r="8" spans="1:11" ht="15.75">
      <c r="A8" s="9">
        <v>3</v>
      </c>
      <c r="B8" s="10" t="s">
        <v>14</v>
      </c>
      <c r="C8" s="7">
        <f>'Табл. №1'!C16</f>
        <v>21</v>
      </c>
      <c r="D8" s="7">
        <f>'Табл. №1'!D16</f>
        <v>15</v>
      </c>
      <c r="E8" s="10">
        <f t="shared" si="0"/>
        <v>315</v>
      </c>
      <c r="F8" s="7">
        <f>'Табл. №1'!F16</f>
        <v>18</v>
      </c>
      <c r="G8" s="7">
        <f>'Табл. №1'!G16</f>
        <v>3</v>
      </c>
      <c r="H8" s="7">
        <f t="shared" si="1"/>
        <v>54</v>
      </c>
      <c r="I8" s="7">
        <f t="shared" si="2"/>
        <v>369</v>
      </c>
      <c r="J8" s="7">
        <f>'Табл. №1'!J16</f>
        <v>0.05</v>
      </c>
      <c r="K8" s="8">
        <f t="shared" si="3"/>
        <v>18.45</v>
      </c>
    </row>
    <row r="9" spans="1:11" ht="15.75">
      <c r="A9" s="9">
        <v>4</v>
      </c>
      <c r="B9" s="10" t="s">
        <v>15</v>
      </c>
      <c r="C9" s="10">
        <f>'Табл. №1'!C17-'Табл. №1'!C17*20%</f>
        <v>296</v>
      </c>
      <c r="D9" s="7">
        <f>'Табл. №1'!D17</f>
        <v>699</v>
      </c>
      <c r="E9" s="10">
        <f t="shared" si="0"/>
        <v>206904</v>
      </c>
      <c r="F9" s="10">
        <f>'Табл. №1'!F17-'Табл. №1'!F17*20%</f>
        <v>291.2</v>
      </c>
      <c r="G9" s="7">
        <f>'Табл. №1'!G17</f>
        <v>113</v>
      </c>
      <c r="H9" s="7">
        <f t="shared" si="1"/>
        <v>32905.6</v>
      </c>
      <c r="I9" s="7">
        <f t="shared" si="2"/>
        <v>239809.6</v>
      </c>
      <c r="J9" s="7">
        <f>'Табл. №1'!J17</f>
        <v>0.0006</v>
      </c>
      <c r="K9" s="8">
        <f t="shared" si="3"/>
        <v>143.88576</v>
      </c>
    </row>
    <row r="10" spans="1:11" ht="15.75">
      <c r="A10" s="9">
        <v>5</v>
      </c>
      <c r="B10" s="10" t="s">
        <v>16</v>
      </c>
      <c r="C10" s="10">
        <f>'Табл. №1'!C18-'Табл. №1'!C18*20%</f>
        <v>64</v>
      </c>
      <c r="D10" s="7">
        <f>'Табл. №1'!D18</f>
        <v>126</v>
      </c>
      <c r="E10" s="10">
        <f t="shared" si="0"/>
        <v>8064</v>
      </c>
      <c r="F10" s="10">
        <f>'Табл. №1'!F18-'Табл. №1'!F18*20%</f>
        <v>62.4</v>
      </c>
      <c r="G10" s="7">
        <f>'Табл. №1'!G18</f>
        <v>52</v>
      </c>
      <c r="H10" s="7">
        <f t="shared" si="1"/>
        <v>3244.7999999999997</v>
      </c>
      <c r="I10" s="7">
        <f t="shared" si="2"/>
        <v>11308.8</v>
      </c>
      <c r="J10" s="7">
        <f>'Табл. №1'!J18</f>
        <v>0.002</v>
      </c>
      <c r="K10" s="8">
        <f t="shared" si="3"/>
        <v>22.6176</v>
      </c>
    </row>
    <row r="11" spans="1:11" ht="15.75">
      <c r="A11" s="9">
        <v>6</v>
      </c>
      <c r="B11" s="10" t="s">
        <v>17</v>
      </c>
      <c r="C11" s="10">
        <f>'Табл. №1'!C19-'Табл. №1'!C19*20%</f>
        <v>56.8</v>
      </c>
      <c r="D11" s="7">
        <f>'Табл. №1'!D19</f>
        <v>61.3</v>
      </c>
      <c r="E11" s="10">
        <f t="shared" si="0"/>
        <v>3481.8399999999997</v>
      </c>
      <c r="F11" s="10">
        <f>'Табл. №1'!F19-'Табл. №1'!F19*20%</f>
        <v>55.2</v>
      </c>
      <c r="G11" s="7">
        <f>'Табл. №1'!G19</f>
        <v>10.7</v>
      </c>
      <c r="H11" s="7">
        <f t="shared" si="1"/>
        <v>590.64</v>
      </c>
      <c r="I11" s="7">
        <f t="shared" si="2"/>
        <v>4072.4799999999996</v>
      </c>
      <c r="J11" s="7">
        <f>'Табл. №1'!J19</f>
        <v>0.003</v>
      </c>
      <c r="K11" s="8">
        <f t="shared" si="3"/>
        <v>12.217439999999998</v>
      </c>
    </row>
    <row r="12" spans="1:11" ht="15.75">
      <c r="A12" s="9">
        <v>7</v>
      </c>
      <c r="B12" s="10" t="s">
        <v>18</v>
      </c>
      <c r="C12" s="10">
        <f>'Табл. №1'!C20</f>
        <v>0.27</v>
      </c>
      <c r="D12" s="7">
        <f>'Табл. №1'!D20</f>
        <v>0.1</v>
      </c>
      <c r="E12" s="10">
        <f t="shared" si="0"/>
        <v>0.027000000000000003</v>
      </c>
      <c r="F12" s="10">
        <f>'Табл. №1'!F20</f>
        <v>0.27</v>
      </c>
      <c r="G12" s="7">
        <f>'Табл. №1'!G20</f>
        <v>0.4</v>
      </c>
      <c r="H12" s="7">
        <f t="shared" si="1"/>
        <v>0.10800000000000001</v>
      </c>
      <c r="I12" s="7">
        <f t="shared" si="2"/>
        <v>0.135</v>
      </c>
      <c r="J12" s="7">
        <f>'Табл. №1'!J20</f>
        <v>5</v>
      </c>
      <c r="K12" s="8">
        <f t="shared" si="3"/>
        <v>0.675</v>
      </c>
    </row>
    <row r="13" spans="1:11" ht="15.75">
      <c r="A13" s="9">
        <v>8</v>
      </c>
      <c r="B13" s="10" t="s">
        <v>19</v>
      </c>
      <c r="C13" s="10">
        <f>'Табл. №1'!C21</f>
        <v>10.5</v>
      </c>
      <c r="D13" s="7">
        <f>'Табл. №1'!D21</f>
        <v>0.6</v>
      </c>
      <c r="E13" s="10">
        <f t="shared" si="0"/>
        <v>6.3</v>
      </c>
      <c r="F13" s="10">
        <f>'Табл. №1'!F21</f>
        <v>10.5</v>
      </c>
      <c r="G13" s="7">
        <f>'Табл. №1'!G21</f>
        <v>0.3</v>
      </c>
      <c r="H13" s="7">
        <f t="shared" si="1"/>
        <v>3.15</v>
      </c>
      <c r="I13" s="7">
        <f t="shared" si="2"/>
        <v>9.45</v>
      </c>
      <c r="J13" s="7">
        <f>'Табл. №1'!J21</f>
        <v>0.1</v>
      </c>
      <c r="K13" s="8">
        <f t="shared" si="3"/>
        <v>0.945</v>
      </c>
    </row>
    <row r="14" spans="1:11" ht="15.75">
      <c r="A14" s="9">
        <v>9</v>
      </c>
      <c r="B14" s="10" t="s">
        <v>20</v>
      </c>
      <c r="C14" s="10">
        <f>'Табл. №1'!C22</f>
        <v>0.43</v>
      </c>
      <c r="D14" s="7">
        <f>'Табл. №1'!D22</f>
        <v>0.7</v>
      </c>
      <c r="E14" s="10">
        <f>C14*D14</f>
        <v>0.301</v>
      </c>
      <c r="F14" s="10">
        <f>'Табл. №1'!F22</f>
        <v>0.43</v>
      </c>
      <c r="G14" s="7">
        <f>'Табл. №1'!G22</f>
        <v>0.9</v>
      </c>
      <c r="H14" s="7">
        <f t="shared" si="1"/>
        <v>0.387</v>
      </c>
      <c r="I14" s="7">
        <f t="shared" si="2"/>
        <v>0.688</v>
      </c>
      <c r="J14" s="7">
        <f>'Табл. №1'!J22</f>
        <v>0.11</v>
      </c>
      <c r="K14" s="8">
        <f t="shared" si="3"/>
        <v>0.07568</v>
      </c>
    </row>
    <row r="15" spans="1:11" ht="16.5" thickBot="1">
      <c r="A15" s="12">
        <v>10</v>
      </c>
      <c r="B15" s="13" t="s">
        <v>21</v>
      </c>
      <c r="C15" s="10">
        <f>'Табл. №1'!C23</f>
        <v>0.37</v>
      </c>
      <c r="D15" s="7">
        <f>'Табл. №1'!D23</f>
        <v>0.6</v>
      </c>
      <c r="E15" s="13">
        <f>C15*D15</f>
        <v>0.222</v>
      </c>
      <c r="F15" s="10">
        <f>'Табл. №1'!F23</f>
        <v>0.31</v>
      </c>
      <c r="G15" s="7">
        <f>'Табл. №1'!G23</f>
        <v>0.1</v>
      </c>
      <c r="H15" s="7">
        <f t="shared" si="1"/>
        <v>0.031</v>
      </c>
      <c r="I15" s="7">
        <f t="shared" si="2"/>
        <v>0.253</v>
      </c>
      <c r="J15" s="7">
        <f>'Табл. №1'!J23</f>
        <v>33.3</v>
      </c>
      <c r="K15" s="8">
        <f t="shared" si="3"/>
        <v>8.4249</v>
      </c>
    </row>
    <row r="16" spans="1:11" ht="16.5" thickBot="1">
      <c r="A16" s="15"/>
      <c r="B16" s="16" t="s">
        <v>22</v>
      </c>
      <c r="C16" s="16"/>
      <c r="D16" s="16"/>
      <c r="E16" s="16"/>
      <c r="F16" s="16"/>
      <c r="G16" s="16"/>
      <c r="H16" s="16"/>
      <c r="I16" s="16"/>
      <c r="J16" s="16"/>
      <c r="K16" s="17">
        <f>SUM(K6:K15)</f>
        <v>214.55138000000005</v>
      </c>
    </row>
    <row r="17" spans="1:11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8" ht="15.75">
      <c r="B18" s="19" t="str">
        <f>CONCATENATE("Показатель относительной опасности загрязнения водоёмов равен ",'Табл. №1'!B28)</f>
        <v>Показатель относительной опасности загрязнения водоёмов равен 0,5</v>
      </c>
      <c r="C18" s="19"/>
      <c r="D18" s="19"/>
      <c r="E18" s="19"/>
      <c r="F18" s="19"/>
      <c r="G18" s="19"/>
      <c r="H18" s="19"/>
    </row>
    <row r="19" spans="2:4" ht="15.75">
      <c r="B19" s="1" t="str">
        <f>CONCATENATE("Ус= ",'Табл. №1'!B29,"*",'Табл. №1'!B28,"*",K16," = ",B21," руб")</f>
        <v>Ус= 443,5*0,5*214,55138 = 47576,77 руб</v>
      </c>
      <c r="D19" s="20"/>
    </row>
    <row r="21" ht="15.75">
      <c r="B21" s="1">
        <f>ROUND('Табл. №1'!B29*'Табл. №1'!B28*K16,2)</f>
        <v>47576.77</v>
      </c>
    </row>
  </sheetData>
  <mergeCells count="8">
    <mergeCell ref="A1:K1"/>
    <mergeCell ref="I3:I4"/>
    <mergeCell ref="J3:J4"/>
    <mergeCell ref="K3:K4"/>
    <mergeCell ref="A3:A4"/>
    <mergeCell ref="B3:B4"/>
    <mergeCell ref="C3:E3"/>
    <mergeCell ref="F3:H3"/>
  </mergeCells>
  <printOptions horizontalCentered="1"/>
  <pageMargins left="0.3937007874015748" right="0.3937007874015748" top="1.1811023622047245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37.375" style="1" customWidth="1"/>
    <col min="3" max="3" width="15.00390625" style="1" customWidth="1"/>
    <col min="4" max="4" width="19.875" style="1" customWidth="1"/>
    <col min="5" max="5" width="17.375" style="1" customWidth="1"/>
    <col min="6" max="16384" width="9.375" style="1" customWidth="1"/>
  </cols>
  <sheetData>
    <row r="1" spans="1:2" ht="18.75">
      <c r="A1" s="36" t="s">
        <v>98</v>
      </c>
      <c r="B1" s="36"/>
    </row>
    <row r="2" ht="16.5" thickBot="1">
      <c r="A2" s="1" t="s">
        <v>99</v>
      </c>
    </row>
    <row r="3" spans="1:5" ht="97.5" customHeight="1" thickBot="1">
      <c r="A3" s="3" t="s">
        <v>2</v>
      </c>
      <c r="B3" s="21" t="s">
        <v>3</v>
      </c>
      <c r="C3" s="21" t="s">
        <v>25</v>
      </c>
      <c r="D3" s="21" t="s">
        <v>26</v>
      </c>
      <c r="E3" s="22" t="s">
        <v>27</v>
      </c>
    </row>
    <row r="4" spans="1:5" ht="16.5" thickBot="1">
      <c r="A4" s="3">
        <v>1</v>
      </c>
      <c r="B4" s="4">
        <v>2</v>
      </c>
      <c r="C4" s="4">
        <v>3</v>
      </c>
      <c r="D4" s="4">
        <v>4</v>
      </c>
      <c r="E4" s="5">
        <v>5</v>
      </c>
    </row>
    <row r="5" spans="1:5" ht="15.75">
      <c r="A5" s="6">
        <v>1</v>
      </c>
      <c r="B5" s="7" t="s">
        <v>30</v>
      </c>
      <c r="C5" s="7">
        <f>'Табл. №2'!C11-'Табл. №2'!C11*30%</f>
        <v>210</v>
      </c>
      <c r="D5" s="7">
        <v>20</v>
      </c>
      <c r="E5" s="8">
        <f aca="true" t="shared" si="0" ref="E5:E11">C5*D5</f>
        <v>4200</v>
      </c>
    </row>
    <row r="6" spans="1:5" ht="15.75">
      <c r="A6" s="9">
        <v>2</v>
      </c>
      <c r="B6" s="10" t="s">
        <v>31</v>
      </c>
      <c r="C6" s="7">
        <f>'Табл. №2'!C12-'Табл. №2'!C12*30%</f>
        <v>770</v>
      </c>
      <c r="D6" s="10">
        <v>70</v>
      </c>
      <c r="E6" s="11">
        <f t="shared" si="0"/>
        <v>53900</v>
      </c>
    </row>
    <row r="7" spans="1:5" ht="15.75">
      <c r="A7" s="9">
        <v>3</v>
      </c>
      <c r="B7" s="10" t="s">
        <v>32</v>
      </c>
      <c r="C7" s="7">
        <f>'Табл. №2'!C13-'Табл. №2'!C13*30%</f>
        <v>1610</v>
      </c>
      <c r="D7" s="10">
        <v>40</v>
      </c>
      <c r="E7" s="11">
        <f t="shared" si="0"/>
        <v>64400</v>
      </c>
    </row>
    <row r="8" spans="1:5" ht="15.75">
      <c r="A8" s="9">
        <v>4</v>
      </c>
      <c r="B8" s="10" t="s">
        <v>33</v>
      </c>
      <c r="C8" s="10">
        <v>10</v>
      </c>
      <c r="D8" s="10">
        <v>6.67</v>
      </c>
      <c r="E8" s="11">
        <f t="shared" si="0"/>
        <v>66.7</v>
      </c>
    </row>
    <row r="9" spans="1:5" ht="15.75">
      <c r="A9" s="9">
        <v>5</v>
      </c>
      <c r="B9" s="10" t="s">
        <v>28</v>
      </c>
      <c r="C9" s="10">
        <v>169.26</v>
      </c>
      <c r="D9" s="10">
        <v>20</v>
      </c>
      <c r="E9" s="11">
        <f t="shared" si="0"/>
        <v>3385.2</v>
      </c>
    </row>
    <row r="10" spans="1:5" ht="15.75">
      <c r="A10" s="9">
        <v>6</v>
      </c>
      <c r="B10" s="10" t="s">
        <v>29</v>
      </c>
      <c r="C10" s="10">
        <v>11335.171</v>
      </c>
      <c r="D10" s="10">
        <v>20</v>
      </c>
      <c r="E10" s="11">
        <f t="shared" si="0"/>
        <v>226703.42</v>
      </c>
    </row>
    <row r="11" spans="1:5" ht="16.5" thickBot="1">
      <c r="A11" s="12">
        <v>7</v>
      </c>
      <c r="B11" s="13" t="s">
        <v>34</v>
      </c>
      <c r="C11" s="13">
        <v>2696.371</v>
      </c>
      <c r="D11" s="13">
        <v>25</v>
      </c>
      <c r="E11" s="14">
        <f t="shared" si="0"/>
        <v>67409.27500000001</v>
      </c>
    </row>
    <row r="12" spans="1:5" ht="16.5" thickBot="1">
      <c r="A12" s="15"/>
      <c r="B12" s="16" t="s">
        <v>22</v>
      </c>
      <c r="C12" s="16">
        <f>SUM(C5:C11)</f>
        <v>16800.802</v>
      </c>
      <c r="D12" s="16"/>
      <c r="E12" s="17">
        <f>SUM(E5:E11)</f>
        <v>420064.59500000003</v>
      </c>
    </row>
    <row r="13" spans="1:5" ht="15.75">
      <c r="A13" s="18"/>
      <c r="B13" s="18"/>
      <c r="C13" s="18"/>
      <c r="D13" s="18"/>
      <c r="E13" s="18"/>
    </row>
    <row r="14" spans="2:6" ht="15.75">
      <c r="B14" s="1" t="str">
        <f>CONCATENATE("Показатель относительной опасности загрязнения атмосферы равен ",'Табл. №2'!B24)</f>
        <v>Показатель относительной опасности загрязнения атмосферы равен 3</v>
      </c>
      <c r="F14" s="20"/>
    </row>
    <row r="15" spans="2:3" ht="15.75">
      <c r="B15" s="30" t="str">
        <f>CONCATENATE("f = ",'Табл. №2'!B25)</f>
        <v>f = 0,5</v>
      </c>
      <c r="C15" s="20"/>
    </row>
    <row r="16" spans="2:6" ht="15.75">
      <c r="B16" s="30" t="str">
        <f>CONCATENATE("Ув = ",'Табл. №2'!B26,"*",'Табл. №2'!B24,"*",'Табл. №2'!B25,"*",E12," = ",B20," (руб/год)")</f>
        <v>Ув = 3,3*3*0,5*420064,595 = 2079319,75 (руб/год)</v>
      </c>
      <c r="C16" s="20"/>
      <c r="D16" s="20"/>
      <c r="F16" s="20"/>
    </row>
    <row r="17" spans="2:4" ht="15.75">
      <c r="B17" s="30" t="str">
        <f>CONCATENATE("Уобщее = Ус + Ув = ",B21," (руб/год)")</f>
        <v>Уобщее = Ус + Ув = 2126896,52 (руб/год)</v>
      </c>
      <c r="C17" s="20"/>
      <c r="D17" s="20"/>
    </row>
    <row r="20" spans="1:2" ht="15.75">
      <c r="A20" s="1" t="s">
        <v>100</v>
      </c>
      <c r="B20" s="1">
        <f>ROUND('Табл. №2'!B26*'Табл. №2'!B25*E12*'Табл. №2'!B24,2)</f>
        <v>2079319.75</v>
      </c>
    </row>
    <row r="21" ht="15.75">
      <c r="B21" s="1">
        <f>ROUND(B20+'Табл. №7'!B21,2)</f>
        <v>2126896.52</v>
      </c>
    </row>
    <row r="22" ht="15.75">
      <c r="B22" s="1">
        <v>2126896.52</v>
      </c>
    </row>
  </sheetData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6.125" style="1" customWidth="1"/>
    <col min="3" max="3" width="9.875" style="1" customWidth="1"/>
    <col min="4" max="4" width="10.375" style="1" customWidth="1"/>
    <col min="5" max="5" width="10.00390625" style="1" customWidth="1"/>
    <col min="6" max="6" width="11.00390625" style="1" customWidth="1"/>
    <col min="7" max="7" width="11.625" style="1" customWidth="1"/>
    <col min="8" max="8" width="11.375" style="1" customWidth="1"/>
    <col min="9" max="10" width="12.00390625" style="1" customWidth="1"/>
    <col min="11" max="11" width="11.50390625" style="1" customWidth="1"/>
    <col min="12" max="12" width="14.00390625" style="1" customWidth="1"/>
    <col min="13" max="16384" width="9.375" style="1" customWidth="1"/>
  </cols>
  <sheetData>
    <row r="1" spans="1:5" ht="25.5">
      <c r="A1" s="36" t="s">
        <v>119</v>
      </c>
      <c r="E1" s="35"/>
    </row>
    <row r="2" ht="16.5" thickBot="1">
      <c r="A2" s="1" t="s">
        <v>102</v>
      </c>
    </row>
    <row r="3" spans="1:12" ht="15.75">
      <c r="A3" s="45" t="s">
        <v>2</v>
      </c>
      <c r="B3" s="41" t="s">
        <v>41</v>
      </c>
      <c r="C3" s="41" t="s">
        <v>42</v>
      </c>
      <c r="D3" s="41" t="s">
        <v>43</v>
      </c>
      <c r="E3" s="41" t="s">
        <v>44</v>
      </c>
      <c r="F3" s="47" t="s">
        <v>45</v>
      </c>
      <c r="G3" s="47"/>
      <c r="H3" s="41" t="s">
        <v>46</v>
      </c>
      <c r="I3" s="47" t="s">
        <v>47</v>
      </c>
      <c r="J3" s="47"/>
      <c r="K3" s="47"/>
      <c r="L3" s="43" t="s">
        <v>48</v>
      </c>
    </row>
    <row r="4" spans="1:12" ht="63.75" thickBot="1">
      <c r="A4" s="46"/>
      <c r="B4" s="42"/>
      <c r="C4" s="42"/>
      <c r="D4" s="42"/>
      <c r="E4" s="42"/>
      <c r="F4" s="2" t="s">
        <v>49</v>
      </c>
      <c r="G4" s="2" t="s">
        <v>50</v>
      </c>
      <c r="H4" s="42"/>
      <c r="I4" s="2" t="s">
        <v>51</v>
      </c>
      <c r="J4" s="2" t="s">
        <v>52</v>
      </c>
      <c r="K4" s="2" t="s">
        <v>53</v>
      </c>
      <c r="L4" s="44"/>
    </row>
    <row r="5" spans="1:12" ht="16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5">
        <v>12</v>
      </c>
    </row>
    <row r="6" spans="1:12" ht="15.75">
      <c r="A6" s="6">
        <v>1</v>
      </c>
      <c r="B6" s="7" t="s">
        <v>12</v>
      </c>
      <c r="C6" s="7">
        <f>'Табл. №7'!I6</f>
        <v>22</v>
      </c>
      <c r="D6" s="7">
        <f>'Табл. №3'!E6</f>
        <v>12.121212121212121</v>
      </c>
      <c r="E6" s="7">
        <f aca="true" t="shared" si="0" ref="E6:E15">C6-(C6*5%)</f>
        <v>20.9</v>
      </c>
      <c r="F6" s="7">
        <f>E6-D6</f>
        <v>8.778787878787877</v>
      </c>
      <c r="G6" s="7">
        <f aca="true" t="shared" si="1" ref="G6:G15">C6-E6</f>
        <v>1.1000000000000014</v>
      </c>
      <c r="H6" s="7">
        <v>730</v>
      </c>
      <c r="I6" s="7">
        <f aca="true" t="shared" si="2" ref="I6:I15">D6*H6</f>
        <v>8848.484848484848</v>
      </c>
      <c r="J6" s="7">
        <f>F6*H6*5</f>
        <v>32042.575757575753</v>
      </c>
      <c r="K6" s="7">
        <f aca="true" t="shared" si="3" ref="K6:K15">G6*H6*25</f>
        <v>20075.000000000025</v>
      </c>
      <c r="L6" s="8">
        <f aca="true" t="shared" si="4" ref="L6:L15">I6+J6+K6</f>
        <v>60966.06060606062</v>
      </c>
    </row>
    <row r="7" spans="1:12" ht="15.75">
      <c r="A7" s="9">
        <v>2</v>
      </c>
      <c r="B7" s="10" t="s">
        <v>54</v>
      </c>
      <c r="C7" s="7">
        <f>'Табл. №7'!I7</f>
        <v>0</v>
      </c>
      <c r="D7" s="7"/>
      <c r="E7" s="10"/>
      <c r="F7" s="7"/>
      <c r="G7" s="7"/>
      <c r="H7" s="10"/>
      <c r="I7" s="10"/>
      <c r="J7" s="10"/>
      <c r="K7" s="10"/>
      <c r="L7" s="11"/>
    </row>
    <row r="8" spans="1:12" ht="15.75">
      <c r="A8" s="9">
        <v>3</v>
      </c>
      <c r="B8" s="10" t="s">
        <v>55</v>
      </c>
      <c r="C8" s="7">
        <f>'Табл. №7'!I8</f>
        <v>369</v>
      </c>
      <c r="D8" s="7">
        <f>'Табл. №3'!E8</f>
        <v>360</v>
      </c>
      <c r="E8" s="10">
        <f t="shared" si="0"/>
        <v>350.55</v>
      </c>
      <c r="F8" s="7"/>
      <c r="G8" s="7">
        <f t="shared" si="1"/>
        <v>18.44999999999999</v>
      </c>
      <c r="H8" s="10">
        <v>2950</v>
      </c>
      <c r="I8" s="10">
        <f t="shared" si="2"/>
        <v>1062000</v>
      </c>
      <c r="J8" s="10"/>
      <c r="K8" s="10">
        <f t="shared" si="3"/>
        <v>1360687.499999999</v>
      </c>
      <c r="L8" s="11">
        <f t="shared" si="4"/>
        <v>2422687.499999999</v>
      </c>
    </row>
    <row r="9" spans="1:12" ht="15.75">
      <c r="A9" s="9">
        <v>4</v>
      </c>
      <c r="B9" s="10" t="s">
        <v>56</v>
      </c>
      <c r="C9" s="7">
        <f>'Табл. №7'!I9</f>
        <v>239809.6</v>
      </c>
      <c r="D9" s="7">
        <f>'Табл. №3'!E9</f>
        <v>1353333.3333333335</v>
      </c>
      <c r="E9" s="10"/>
      <c r="F9" s="7"/>
      <c r="G9" s="7"/>
      <c r="H9" s="10">
        <v>2</v>
      </c>
      <c r="I9" s="10"/>
      <c r="J9" s="10"/>
      <c r="K9" s="10"/>
      <c r="L9" s="11">
        <f>H9*C9</f>
        <v>479619.2</v>
      </c>
    </row>
    <row r="10" spans="1:12" ht="15.75">
      <c r="A10" s="9">
        <v>5</v>
      </c>
      <c r="B10" s="10" t="s">
        <v>16</v>
      </c>
      <c r="C10" s="7">
        <f>'Табл. №7'!I10</f>
        <v>11308.8</v>
      </c>
      <c r="D10" s="7">
        <f>'Табл. №3'!E10</f>
        <v>89000</v>
      </c>
      <c r="E10" s="10"/>
      <c r="F10" s="7"/>
      <c r="G10" s="7"/>
      <c r="H10" s="10">
        <v>20</v>
      </c>
      <c r="I10" s="10"/>
      <c r="J10" s="10"/>
      <c r="K10" s="10"/>
      <c r="L10" s="11">
        <f>H10*C10</f>
        <v>226176</v>
      </c>
    </row>
    <row r="11" spans="1:12" ht="15.75">
      <c r="A11" s="9">
        <v>6</v>
      </c>
      <c r="B11" s="10" t="s">
        <v>17</v>
      </c>
      <c r="C11" s="7">
        <f>'Табл. №7'!I11</f>
        <v>4072.4799999999996</v>
      </c>
      <c r="D11" s="7">
        <f>'Табл. №3'!E11</f>
        <v>24000</v>
      </c>
      <c r="E11" s="10"/>
      <c r="F11" s="7"/>
      <c r="G11" s="7"/>
      <c r="H11" s="10">
        <v>7</v>
      </c>
      <c r="I11" s="10"/>
      <c r="J11" s="10"/>
      <c r="K11" s="10"/>
      <c r="L11" s="11">
        <f>C11*H11</f>
        <v>28507.359999999997</v>
      </c>
    </row>
    <row r="12" spans="1:12" ht="15.75">
      <c r="A12" s="9">
        <v>7</v>
      </c>
      <c r="B12" s="10" t="s">
        <v>57</v>
      </c>
      <c r="C12" s="7">
        <f>'Табл. №7'!I12</f>
        <v>0.135</v>
      </c>
      <c r="D12" s="7">
        <f>'Табл. №3'!E12</f>
        <v>0.1</v>
      </c>
      <c r="E12" s="10">
        <f t="shared" si="0"/>
        <v>0.12825</v>
      </c>
      <c r="F12" s="7">
        <f>E12-D12</f>
        <v>0.028249999999999997</v>
      </c>
      <c r="G12" s="7">
        <f t="shared" si="1"/>
        <v>0.006750000000000006</v>
      </c>
      <c r="H12" s="10">
        <v>22175</v>
      </c>
      <c r="I12" s="10">
        <f t="shared" si="2"/>
        <v>2217.5</v>
      </c>
      <c r="J12" s="10">
        <f>F12*H12*5</f>
        <v>3132.2187499999995</v>
      </c>
      <c r="K12" s="10">
        <f t="shared" si="3"/>
        <v>3742.031250000003</v>
      </c>
      <c r="L12" s="11">
        <f t="shared" si="4"/>
        <v>9091.750000000004</v>
      </c>
    </row>
    <row r="13" spans="1:12" ht="15.75">
      <c r="A13" s="9">
        <v>8</v>
      </c>
      <c r="B13" s="10" t="s">
        <v>19</v>
      </c>
      <c r="C13" s="7">
        <f>'Табл. №7'!I13</f>
        <v>9.45</v>
      </c>
      <c r="D13" s="7">
        <f>'Табл. №3'!E13</f>
        <v>9</v>
      </c>
      <c r="E13" s="10">
        <f t="shared" si="0"/>
        <v>8.9775</v>
      </c>
      <c r="F13" s="7"/>
      <c r="G13" s="7">
        <f t="shared" si="1"/>
        <v>0.47250000000000014</v>
      </c>
      <c r="H13" s="10">
        <v>245</v>
      </c>
      <c r="I13" s="10">
        <f t="shared" si="2"/>
        <v>2205</v>
      </c>
      <c r="J13" s="10">
        <f>F13*H13*5</f>
        <v>0</v>
      </c>
      <c r="K13" s="10">
        <f t="shared" si="3"/>
        <v>2894.062500000001</v>
      </c>
      <c r="L13" s="11">
        <f t="shared" si="4"/>
        <v>5099.062500000001</v>
      </c>
    </row>
    <row r="14" spans="1:12" ht="15.75">
      <c r="A14" s="9">
        <v>9</v>
      </c>
      <c r="B14" s="10" t="s">
        <v>58</v>
      </c>
      <c r="C14" s="7">
        <f>'Табл. №7'!I14</f>
        <v>0.688</v>
      </c>
      <c r="D14" s="7">
        <f>'Табл. №3'!E14</f>
        <v>14.545454545454547</v>
      </c>
      <c r="E14" s="10"/>
      <c r="F14" s="7"/>
      <c r="G14" s="7"/>
      <c r="H14" s="10">
        <v>5545</v>
      </c>
      <c r="I14" s="10"/>
      <c r="J14" s="10"/>
      <c r="K14" s="10"/>
      <c r="L14" s="11">
        <f>C14*H14</f>
        <v>3814.9599999999996</v>
      </c>
    </row>
    <row r="15" spans="1:12" ht="16.5" thickBot="1">
      <c r="A15" s="12">
        <v>10</v>
      </c>
      <c r="B15" s="13" t="s">
        <v>59</v>
      </c>
      <c r="C15" s="7">
        <f>'Табл. №7'!I15</f>
        <v>0.253</v>
      </c>
      <c r="D15" s="7">
        <f>'Табл. №3'!E15</f>
        <v>0.021021021021021023</v>
      </c>
      <c r="E15" s="13">
        <f t="shared" si="0"/>
        <v>0.24035</v>
      </c>
      <c r="F15" s="7">
        <f>E15-D15</f>
        <v>0.219328978978979</v>
      </c>
      <c r="G15" s="7">
        <f t="shared" si="1"/>
        <v>0.012649999999999995</v>
      </c>
      <c r="H15" s="13">
        <v>22175</v>
      </c>
      <c r="I15" s="13">
        <f t="shared" si="2"/>
        <v>466.1411411411412</v>
      </c>
      <c r="J15" s="13">
        <f>F15*H15*5</f>
        <v>24318.10054429429</v>
      </c>
      <c r="K15" s="13">
        <f t="shared" si="3"/>
        <v>7012.843749999997</v>
      </c>
      <c r="L15" s="14">
        <f t="shared" si="4"/>
        <v>31797.08543543543</v>
      </c>
    </row>
    <row r="16" spans="1:12" ht="16.5" thickBot="1">
      <c r="A16" s="15"/>
      <c r="B16" s="16" t="s">
        <v>22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f>ROUND(SUM(L6:L15),2)</f>
        <v>3267758.98</v>
      </c>
    </row>
    <row r="17" spans="1:6" ht="15.75">
      <c r="A17" s="28"/>
      <c r="B17" s="28" t="str">
        <f>CONCATENATE("Поправочный коэффициент ",'Табл. №4'!B22)</f>
        <v>Поправочный коэффициент 30</v>
      </c>
      <c r="C17" s="28"/>
      <c r="D17" s="28"/>
      <c r="E17" s="28"/>
      <c r="F17" s="28"/>
    </row>
    <row r="18" ht="15.75">
      <c r="B18" s="1" t="str">
        <f>CONCATENATE("Плата = ",L16,"*1,125*",'Табл. №4'!B22," = ",B22," руб ")</f>
        <v>Плата = 3267758,98*1,125*30 = 110286865,58 руб </v>
      </c>
    </row>
    <row r="19" ht="15.75">
      <c r="B19" s="1" t="str">
        <f>CONCATENATE(" 10% - ",ROUND((0.1*L16*1.125*'Табл. №4'!B22),2)," (руб) в бюджет России")</f>
        <v> 10% - 11028686,56 (руб) в бюджет России</v>
      </c>
    </row>
    <row r="20" ht="15.75">
      <c r="B20" s="1" t="str">
        <f>CONCATENATE(" 90% - ",ROUND((0.9*L16*1.125*'Табл. №4'!B22),2)," (руб) в областной экологический фонд")</f>
        <v> 90% - 99258179,02 (руб) в областной экологический фонд</v>
      </c>
    </row>
    <row r="22" spans="1:2" ht="15.75">
      <c r="A22" s="1" t="s">
        <v>90</v>
      </c>
      <c r="B22" s="1">
        <f>ROUND((L16*1.125*'Табл. №4'!B22),2)</f>
        <v>110286865.58</v>
      </c>
    </row>
  </sheetData>
  <mergeCells count="9">
    <mergeCell ref="A3:A4"/>
    <mergeCell ref="B3:B4"/>
    <mergeCell ref="C3:C4"/>
    <mergeCell ref="D3:D4"/>
    <mergeCell ref="L3:L4"/>
    <mergeCell ref="E3:E4"/>
    <mergeCell ref="F3:G3"/>
    <mergeCell ref="H3:H4"/>
    <mergeCell ref="I3:K3"/>
  </mergeCells>
  <printOptions horizontalCentered="1"/>
  <pageMargins left="0.5905511811023623" right="0.5905511811023623" top="1.1811023622047245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 Андрей Анатольевич</dc:creator>
  <cp:keywords/>
  <dc:description/>
  <cp:lastModifiedBy>Алексеев Андрей Анатольевич</cp:lastModifiedBy>
  <cp:lastPrinted>2000-06-07T19:14:34Z</cp:lastPrinted>
  <dcterms:created xsi:type="dcterms:W3CDTF">2000-05-17T18:05:26Z</dcterms:created>
  <dcterms:modified xsi:type="dcterms:W3CDTF">2000-06-07T19:27:34Z</dcterms:modified>
  <cp:category/>
  <cp:version/>
  <cp:contentType/>
  <cp:contentStatus/>
</cp:coreProperties>
</file>