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3"/>
  </bookViews>
  <sheets>
    <sheet name="Вариант1" sheetId="1" r:id="rId1"/>
    <sheet name="Вариаинт2" sheetId="2" r:id="rId2"/>
    <sheet name="Вариант3" sheetId="3" r:id="rId3"/>
    <sheet name="Лист4" sheetId="4" r:id="rId4"/>
    <sheet name="Лист5" sheetId="5" r:id="rId5"/>
  </sheets>
  <definedNames>
    <definedName name="_xlnm.Print_Area" localSheetId="2">'Вариант3'!$A:$IV</definedName>
  </definedNames>
  <calcPr fullCalcOnLoad="1"/>
</workbook>
</file>

<file path=xl/sharedStrings.xml><?xml version="1.0" encoding="utf-8"?>
<sst xmlns="http://schemas.openxmlformats.org/spreadsheetml/2006/main" count="231" uniqueCount="95">
  <si>
    <t xml:space="preserve">Ставка налога </t>
  </si>
  <si>
    <t>Средний доход</t>
  </si>
  <si>
    <t>Период</t>
  </si>
  <si>
    <t>тирования, %</t>
  </si>
  <si>
    <t xml:space="preserve">Коэффициент дисконтирования, % </t>
  </si>
  <si>
    <t>Период, лет</t>
  </si>
  <si>
    <t>Коэф.дисконт.</t>
  </si>
  <si>
    <t>Тек.стоимость</t>
  </si>
  <si>
    <t>NPV=</t>
  </si>
  <si>
    <t>1) Расчитаем текущую стоимость по годам:</t>
  </si>
  <si>
    <t>2) Расчитаем простую окупаемость проекта:</t>
  </si>
  <si>
    <t xml:space="preserve">(Кап.вложения\ср.доход) = </t>
  </si>
  <si>
    <t>3) Рассчитаем доходность инвестиционного капитала:</t>
  </si>
  <si>
    <t xml:space="preserve">(Ср.доход\кап.вложения) = </t>
  </si>
  <si>
    <t>4) Рассчитаем текущую окупаемость проекта:</t>
  </si>
  <si>
    <t xml:space="preserve">(Кап.вложения\ср.тек.стоимость) = </t>
  </si>
  <si>
    <t>5) Рассчитаем внутреннюю норму окупаемости:</t>
  </si>
  <si>
    <t xml:space="preserve">NPV = </t>
  </si>
  <si>
    <t>B(n,r)=</t>
  </si>
  <si>
    <t>6) Рассчитаем длительность проекта:</t>
  </si>
  <si>
    <t xml:space="preserve">Длительность = </t>
  </si>
  <si>
    <t>Рассмотрим ранжирование инвестиционных проектов</t>
  </si>
  <si>
    <t>Проект</t>
  </si>
  <si>
    <t>1) Чистая текущая стоимость:</t>
  </si>
  <si>
    <t>NPV</t>
  </si>
  <si>
    <t>2) Внутренняя норма окупаемости:</t>
  </si>
  <si>
    <t>Ранг</t>
  </si>
  <si>
    <t>IRR</t>
  </si>
  <si>
    <t>3) Средняя доходность на капиталовложения:</t>
  </si>
  <si>
    <t>Капиталовложения</t>
  </si>
  <si>
    <t>Ср.доход</t>
  </si>
  <si>
    <t xml:space="preserve">Ср.доход\кап.влож.,% </t>
  </si>
  <si>
    <t>4) Период окупаемости:</t>
  </si>
  <si>
    <t>Период окупаемости</t>
  </si>
  <si>
    <t>5) Текущая окупаемость:</t>
  </si>
  <si>
    <t>Ср.тек.ст-ть</t>
  </si>
  <si>
    <t>Тек.окупаемость, лет</t>
  </si>
  <si>
    <t>6) Длительность:</t>
  </si>
  <si>
    <t xml:space="preserve">Проект </t>
  </si>
  <si>
    <t>Длительность</t>
  </si>
  <si>
    <t>Критерии</t>
  </si>
  <si>
    <t>Сводная таблица ранжирования инвестиций:</t>
  </si>
  <si>
    <t>Проекты</t>
  </si>
  <si>
    <t>Ср.дох-ть на капвлож.</t>
  </si>
  <si>
    <t>Тек.окупаемость</t>
  </si>
  <si>
    <t>, %</t>
  </si>
  <si>
    <t>вложения</t>
  </si>
  <si>
    <t>Ставка диск.</t>
  </si>
  <si>
    <t>Период ок-ти, лет</t>
  </si>
  <si>
    <t>Ставка</t>
  </si>
  <si>
    <t>Необходимые инвестиции, $</t>
  </si>
  <si>
    <t>Амортизация</t>
  </si>
  <si>
    <t>год</t>
  </si>
  <si>
    <t>на нач.</t>
  </si>
  <si>
    <t>на конец</t>
  </si>
  <si>
    <t>сумма аморт</t>
  </si>
  <si>
    <t>Норма амортизация,%</t>
  </si>
  <si>
    <t>Расходы на маркетинг</t>
  </si>
  <si>
    <t>Затраты</t>
  </si>
  <si>
    <t>Чистая прибыль</t>
  </si>
  <si>
    <t>Необходимые оборот.ср-ва, $</t>
  </si>
  <si>
    <t>Ден.поcтупления</t>
  </si>
  <si>
    <t>Ден.поток без налога</t>
  </si>
  <si>
    <t>Высвобождение к концу 12-го года,$</t>
  </si>
  <si>
    <t>Год</t>
  </si>
  <si>
    <t>Ожид.приб</t>
  </si>
  <si>
    <t>средняя доходн</t>
  </si>
  <si>
    <t>Без налога</t>
  </si>
  <si>
    <t>Итого</t>
  </si>
  <si>
    <t>Средний доход=</t>
  </si>
  <si>
    <t xml:space="preserve">При ставке дисконтирования = </t>
  </si>
  <si>
    <t>Первоночальные</t>
  </si>
  <si>
    <t>Средняя текущая стоимость</t>
  </si>
  <si>
    <t>Таким образом можно сказать, что проект 2 наиболее привлекательный.</t>
  </si>
  <si>
    <t>Графики чистой текущей стоимости</t>
  </si>
  <si>
    <t>Проект 1</t>
  </si>
  <si>
    <t>Средняя текущая стоимость=</t>
  </si>
  <si>
    <t>1) Текущую стоимость по годам:</t>
  </si>
  <si>
    <t xml:space="preserve">Ставка налога,% </t>
  </si>
  <si>
    <t xml:space="preserve"> NPV используя B(n,r):</t>
  </si>
  <si>
    <t>Проект 2</t>
  </si>
  <si>
    <t>Расходы на маркетинг c учетом налога,$</t>
  </si>
  <si>
    <t>Годы</t>
  </si>
  <si>
    <t>1--3</t>
  </si>
  <si>
    <t>4--8</t>
  </si>
  <si>
    <t>9--12</t>
  </si>
  <si>
    <t>Ожидаемая</t>
  </si>
  <si>
    <t>Безналога</t>
  </si>
  <si>
    <t>Др.доходы</t>
  </si>
  <si>
    <t>прибыль в год</t>
  </si>
  <si>
    <t>В конце 12 года высвобождаются оборотные средства в размере 1250000 и</t>
  </si>
  <si>
    <t xml:space="preserve"> продается оборудование по остаточной стоимости равной</t>
  </si>
  <si>
    <t>(Амортизация начисляется равными частями в течении 12 лет.)</t>
  </si>
  <si>
    <t>Расчетная часть</t>
  </si>
  <si>
    <t>Проект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</si>
</sst>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.75"/>
      <name val="Arial Cyr"/>
      <family val="0"/>
    </font>
    <font>
      <b/>
      <sz val="11.75"/>
      <name val="Arial Cyr"/>
      <family val="0"/>
    </font>
    <font>
      <b/>
      <sz val="14"/>
      <name val="Courier New Cyr"/>
      <family val="3"/>
    </font>
    <font>
      <b/>
      <sz val="10"/>
      <name val="Courier New Cyr"/>
      <family val="3"/>
    </font>
    <font>
      <i/>
      <sz val="12"/>
      <name val="Bookman Old Style"/>
      <family val="1"/>
    </font>
    <font>
      <b/>
      <i/>
      <sz val="10"/>
      <name val="Courier New Cyr"/>
      <family val="3"/>
    </font>
    <font>
      <b/>
      <sz val="18"/>
      <name val="Arial Cyr"/>
      <family val="2"/>
    </font>
    <font>
      <b/>
      <sz val="16"/>
      <name val="Courier New Cy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535"/>
          <c:h val="0.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Лист5!$B$4:$B$5</c:f>
              <c:numCache/>
            </c:numRef>
          </c:xVal>
          <c:yVal>
            <c:numRef>
              <c:f>Лист5!$C$4:$C$5</c:f>
              <c:numCache/>
            </c:numRef>
          </c:yVal>
          <c:smooth val="1"/>
        </c:ser>
        <c:axId val="65525936"/>
        <c:axId val="52862513"/>
      </c:scatterChart>
      <c:val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crossBetween val="midCat"/>
        <c:dispUnits/>
      </c:val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05"/>
          <c:w val="0.9185"/>
          <c:h val="0.80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Лист5!$B$21:$B$22</c:f>
              <c:numCache/>
            </c:numRef>
          </c:xVal>
          <c:yVal>
            <c:numRef>
              <c:f>Лист5!$C$21:$C$22</c:f>
              <c:numCache/>
            </c:numRef>
          </c:yVal>
          <c:smooth val="1"/>
        </c:ser>
        <c:axId val="6000570"/>
        <c:axId val="54005131"/>
      </c:scatterChart>
      <c:valAx>
        <c:axId val="60005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</c:val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0475"/>
          <c:w val="0.885"/>
          <c:h val="0.80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Лист5!$B$37:$B$38</c:f>
              <c:numCache/>
            </c:numRef>
          </c:xVal>
          <c:yVal>
            <c:numRef>
              <c:f>Лист5!$C$37:$C$38</c:f>
              <c:numCache/>
            </c:numRef>
          </c:yVal>
          <c:smooth val="1"/>
        </c:ser>
        <c:axId val="16284132"/>
        <c:axId val="12339461"/>
      </c:scatterChart>
      <c:val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crossBetween val="midCat"/>
        <c:dispUnits/>
      </c:val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8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19050</xdr:rowOff>
    </xdr:from>
    <xdr:to>
      <xdr:col>8</xdr:col>
      <xdr:colOff>666750</xdr:colOff>
      <xdr:row>17</xdr:row>
      <xdr:rowOff>57150</xdr:rowOff>
    </xdr:to>
    <xdr:graphicFrame>
      <xdr:nvGraphicFramePr>
        <xdr:cNvPr id="1" name="Chart 4"/>
        <xdr:cNvGraphicFramePr/>
      </xdr:nvGraphicFramePr>
      <xdr:xfrm>
        <a:off x="1743075" y="438150"/>
        <a:ext cx="4743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18</xdr:row>
      <xdr:rowOff>57150</xdr:rowOff>
    </xdr:from>
    <xdr:to>
      <xdr:col>8</xdr:col>
      <xdr:colOff>666750</xdr:colOff>
      <xdr:row>33</xdr:row>
      <xdr:rowOff>142875</xdr:rowOff>
    </xdr:to>
    <xdr:graphicFrame>
      <xdr:nvGraphicFramePr>
        <xdr:cNvPr id="2" name="Chart 5"/>
        <xdr:cNvGraphicFramePr/>
      </xdr:nvGraphicFramePr>
      <xdr:xfrm>
        <a:off x="1733550" y="3076575"/>
        <a:ext cx="4752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34</xdr:row>
      <xdr:rowOff>161925</xdr:rowOff>
    </xdr:from>
    <xdr:to>
      <xdr:col>9</xdr:col>
      <xdr:colOff>9525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1704975" y="5791200"/>
        <a:ext cx="48101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31" sqref="A31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4.75390625" style="0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3.25">
      <c r="A1" s="88" t="s">
        <v>93</v>
      </c>
    </row>
    <row r="3" spans="1:3" ht="21">
      <c r="A3" s="89" t="s">
        <v>75</v>
      </c>
      <c r="B3" s="26"/>
      <c r="C3" s="26"/>
    </row>
    <row r="4" spans="1:7" ht="15.75">
      <c r="A4" s="27" t="s">
        <v>50</v>
      </c>
      <c r="B4" s="27"/>
      <c r="C4" s="27"/>
      <c r="G4">
        <v>6300000</v>
      </c>
    </row>
    <row r="5" spans="1:7" ht="15.75">
      <c r="A5" s="27" t="s">
        <v>60</v>
      </c>
      <c r="B5" s="27"/>
      <c r="C5" s="27"/>
      <c r="G5">
        <v>1500000</v>
      </c>
    </row>
    <row r="6" spans="1:7" ht="15.75">
      <c r="A6" s="27" t="s">
        <v>57</v>
      </c>
      <c r="B6" s="27"/>
      <c r="C6" s="27"/>
      <c r="G6">
        <v>1000000</v>
      </c>
    </row>
    <row r="7" spans="1:7" ht="15.75">
      <c r="A7" s="27" t="s">
        <v>78</v>
      </c>
      <c r="B7" s="27"/>
      <c r="C7" s="27"/>
      <c r="G7">
        <v>36</v>
      </c>
    </row>
    <row r="8" spans="1:7" ht="15.75">
      <c r="A8" s="27" t="s">
        <v>4</v>
      </c>
      <c r="B8" s="27"/>
      <c r="C8" s="27" t="s">
        <v>3</v>
      </c>
      <c r="G8">
        <v>12</v>
      </c>
    </row>
    <row r="9" spans="1:7" ht="15.75">
      <c r="A9" s="27" t="s">
        <v>5</v>
      </c>
      <c r="B9" s="27"/>
      <c r="C9" s="27"/>
      <c r="G9">
        <v>12</v>
      </c>
    </row>
    <row r="10" spans="1:7" ht="15.75">
      <c r="A10" s="27" t="s">
        <v>56</v>
      </c>
      <c r="B10" s="27"/>
      <c r="C10" s="27"/>
      <c r="G10">
        <v>6.67</v>
      </c>
    </row>
    <row r="11" spans="1:7" ht="15.75">
      <c r="A11" s="27" t="s">
        <v>63</v>
      </c>
      <c r="B11" s="27"/>
      <c r="C11" s="27"/>
      <c r="G11">
        <v>1250000</v>
      </c>
    </row>
    <row r="12" spans="1:7" ht="15.75">
      <c r="A12" s="27" t="s">
        <v>81</v>
      </c>
      <c r="B12" s="27"/>
      <c r="C12" s="27"/>
      <c r="G12">
        <f>G6*(1-G7/100)</f>
        <v>640000</v>
      </c>
    </row>
    <row r="16" spans="1:3" ht="15.75">
      <c r="A16" s="27"/>
      <c r="B16" s="27"/>
      <c r="C16" s="27"/>
    </row>
    <row r="17" ht="13.5" customHeight="1"/>
    <row r="18" ht="13.5" customHeight="1">
      <c r="B18" s="11" t="s">
        <v>51</v>
      </c>
    </row>
    <row r="19" ht="13.5" customHeight="1" thickBot="1">
      <c r="A19" t="s">
        <v>92</v>
      </c>
    </row>
    <row r="20" spans="1:4" ht="13.5" customHeight="1">
      <c r="A20" s="35" t="s">
        <v>52</v>
      </c>
      <c r="B20" s="36" t="s">
        <v>53</v>
      </c>
      <c r="C20" s="36" t="s">
        <v>55</v>
      </c>
      <c r="D20" s="37" t="s">
        <v>54</v>
      </c>
    </row>
    <row r="21" spans="1:4" ht="13.5" customHeight="1">
      <c r="A21" s="38">
        <v>1</v>
      </c>
      <c r="B21" s="12">
        <f>G4</f>
        <v>6300000</v>
      </c>
      <c r="C21" s="12">
        <f>B21/15</f>
        <v>420000</v>
      </c>
      <c r="D21" s="39">
        <f>B21-C21</f>
        <v>5880000</v>
      </c>
    </row>
    <row r="22" spans="1:4" ht="13.5" customHeight="1">
      <c r="A22" s="38">
        <v>2</v>
      </c>
      <c r="B22" s="12">
        <f aca="true" t="shared" si="0" ref="B22:B32">D21</f>
        <v>5880000</v>
      </c>
      <c r="C22" s="12">
        <v>420000</v>
      </c>
      <c r="D22" s="39">
        <f aca="true" t="shared" si="1" ref="D22:D32">B22-C22</f>
        <v>5460000</v>
      </c>
    </row>
    <row r="23" spans="1:4" ht="13.5" customHeight="1">
      <c r="A23" s="38">
        <v>3</v>
      </c>
      <c r="B23" s="12">
        <f t="shared" si="0"/>
        <v>5460000</v>
      </c>
      <c r="C23" s="12">
        <v>420000</v>
      </c>
      <c r="D23" s="39">
        <f t="shared" si="1"/>
        <v>5040000</v>
      </c>
    </row>
    <row r="24" spans="1:4" ht="13.5" customHeight="1">
      <c r="A24" s="38">
        <v>4</v>
      </c>
      <c r="B24" s="12">
        <f t="shared" si="0"/>
        <v>5040000</v>
      </c>
      <c r="C24" s="12">
        <v>420000</v>
      </c>
      <c r="D24" s="39">
        <f t="shared" si="1"/>
        <v>4620000</v>
      </c>
    </row>
    <row r="25" spans="1:4" ht="13.5" customHeight="1">
      <c r="A25" s="38">
        <v>5</v>
      </c>
      <c r="B25" s="12">
        <f t="shared" si="0"/>
        <v>4620000</v>
      </c>
      <c r="C25" s="12">
        <v>420000</v>
      </c>
      <c r="D25" s="39">
        <f t="shared" si="1"/>
        <v>4200000</v>
      </c>
    </row>
    <row r="26" spans="1:4" ht="13.5" customHeight="1">
      <c r="A26" s="38">
        <v>6</v>
      </c>
      <c r="B26" s="12">
        <f t="shared" si="0"/>
        <v>4200000</v>
      </c>
      <c r="C26" s="12">
        <v>420000</v>
      </c>
      <c r="D26" s="39">
        <f t="shared" si="1"/>
        <v>3780000</v>
      </c>
    </row>
    <row r="27" spans="1:4" ht="13.5" customHeight="1">
      <c r="A27" s="38">
        <v>7</v>
      </c>
      <c r="B27" s="12">
        <f t="shared" si="0"/>
        <v>3780000</v>
      </c>
      <c r="C27" s="12">
        <v>420000</v>
      </c>
      <c r="D27" s="39">
        <f t="shared" si="1"/>
        <v>3360000</v>
      </c>
    </row>
    <row r="28" spans="1:4" ht="13.5" customHeight="1">
      <c r="A28" s="38">
        <v>8</v>
      </c>
      <c r="B28" s="12">
        <f t="shared" si="0"/>
        <v>3360000</v>
      </c>
      <c r="C28" s="12">
        <v>420000</v>
      </c>
      <c r="D28" s="39">
        <f t="shared" si="1"/>
        <v>2940000</v>
      </c>
    </row>
    <row r="29" spans="1:4" ht="13.5" customHeight="1">
      <c r="A29" s="38">
        <v>9</v>
      </c>
      <c r="B29" s="12">
        <f t="shared" si="0"/>
        <v>2940000</v>
      </c>
      <c r="C29" s="12">
        <v>420000</v>
      </c>
      <c r="D29" s="39">
        <f t="shared" si="1"/>
        <v>2520000</v>
      </c>
    </row>
    <row r="30" spans="1:4" ht="12.75">
      <c r="A30" s="38">
        <v>10</v>
      </c>
      <c r="B30" s="12">
        <f t="shared" si="0"/>
        <v>2520000</v>
      </c>
      <c r="C30" s="12">
        <v>420000</v>
      </c>
      <c r="D30" s="39">
        <f t="shared" si="1"/>
        <v>2100000</v>
      </c>
    </row>
    <row r="31" spans="1:4" ht="12.75">
      <c r="A31" s="38">
        <v>11</v>
      </c>
      <c r="B31" s="12">
        <f t="shared" si="0"/>
        <v>2100000</v>
      </c>
      <c r="C31" s="12">
        <v>420000</v>
      </c>
      <c r="D31" s="39">
        <f t="shared" si="1"/>
        <v>1680000</v>
      </c>
    </row>
    <row r="32" spans="1:4" ht="13.5" thickBot="1">
      <c r="A32" s="40">
        <v>12</v>
      </c>
      <c r="B32" s="41">
        <f t="shared" si="0"/>
        <v>1680000</v>
      </c>
      <c r="C32" s="41">
        <v>420000</v>
      </c>
      <c r="D32" s="42">
        <f t="shared" si="1"/>
        <v>1260000</v>
      </c>
    </row>
    <row r="33" spans="1:4" ht="12.75">
      <c r="A33" s="13"/>
      <c r="B33" s="14"/>
      <c r="C33" s="14"/>
      <c r="D33" s="14"/>
    </row>
    <row r="34" spans="1:4" ht="12.75">
      <c r="A34" s="13"/>
      <c r="B34" s="14"/>
      <c r="C34" s="14"/>
      <c r="D34" s="14"/>
    </row>
    <row r="37" spans="2:4" ht="15.75">
      <c r="B37" s="73" t="s">
        <v>1</v>
      </c>
      <c r="C37" s="73"/>
      <c r="D37" s="73"/>
    </row>
    <row r="38" ht="12.75">
      <c r="A38" t="s">
        <v>90</v>
      </c>
    </row>
    <row r="39" spans="1:6" ht="12.75">
      <c r="A39" t="s">
        <v>91</v>
      </c>
      <c r="F39" s="10">
        <f>D32</f>
        <v>1260000</v>
      </c>
    </row>
    <row r="41" ht="12.75">
      <c r="D41" s="14"/>
    </row>
    <row r="42" spans="1:4" ht="12.75">
      <c r="A42" s="68" t="s">
        <v>82</v>
      </c>
      <c r="B42" s="65" t="s">
        <v>83</v>
      </c>
      <c r="C42" s="64" t="s">
        <v>84</v>
      </c>
      <c r="D42" s="64" t="s">
        <v>85</v>
      </c>
    </row>
    <row r="43" spans="1:4" ht="12.75">
      <c r="A43" s="70" t="s">
        <v>86</v>
      </c>
      <c r="B43" s="74">
        <v>1900000</v>
      </c>
      <c r="C43" s="76">
        <v>2200000</v>
      </c>
      <c r="D43" s="76">
        <v>1300000</v>
      </c>
    </row>
    <row r="44" spans="1:4" ht="12.75">
      <c r="A44" s="69" t="s">
        <v>89</v>
      </c>
      <c r="B44" s="75"/>
      <c r="C44" s="76"/>
      <c r="D44" s="76"/>
    </row>
    <row r="45" spans="1:4" ht="12.75">
      <c r="A45" s="69" t="s">
        <v>68</v>
      </c>
      <c r="B45" s="72">
        <f>B43*4</f>
        <v>7600000</v>
      </c>
      <c r="C45" s="71">
        <f>C43*4</f>
        <v>8800000</v>
      </c>
      <c r="D45" s="71">
        <f>D43*4</f>
        <v>5200000</v>
      </c>
    </row>
    <row r="46" spans="1:4" ht="12.75">
      <c r="A46" s="69" t="s">
        <v>88</v>
      </c>
      <c r="B46" s="67"/>
      <c r="C46" s="67"/>
      <c r="D46" s="67">
        <f>G4+G5+G12</f>
        <v>8440000</v>
      </c>
    </row>
    <row r="47" spans="1:4" ht="12.75">
      <c r="A47" s="2" t="s">
        <v>87</v>
      </c>
      <c r="B47" s="67">
        <f>(B45+B46)*(1-G7/100)</f>
        <v>4864000</v>
      </c>
      <c r="C47" s="67">
        <f>(C45+C46)*(1-G7/100)</f>
        <v>5632000</v>
      </c>
      <c r="D47" s="67">
        <f>(D45+D46)*(1-G7/100)</f>
        <v>8729600</v>
      </c>
    </row>
    <row r="48" spans="1:4" ht="12.75">
      <c r="A48" s="13"/>
      <c r="B48" s="14"/>
      <c r="C48" s="14"/>
      <c r="D48" s="14"/>
    </row>
    <row r="49" spans="1:4" ht="12.75">
      <c r="A49" s="13"/>
      <c r="B49" s="14"/>
      <c r="C49" s="14"/>
      <c r="D49" s="14"/>
    </row>
    <row r="50" spans="1:4" ht="12.75">
      <c r="A50" s="13"/>
      <c r="B50" s="14"/>
      <c r="C50" s="14"/>
      <c r="D50" s="14"/>
    </row>
    <row r="51" spans="1:4" ht="12.75">
      <c r="A51" s="13"/>
      <c r="B51" s="14"/>
      <c r="C51" s="14"/>
      <c r="D51" s="14"/>
    </row>
    <row r="52" spans="1:4" ht="12.75">
      <c r="A52" s="13"/>
      <c r="B52" s="14"/>
      <c r="C52" s="14"/>
      <c r="D52" s="14"/>
    </row>
    <row r="53" ht="13.5" thickBot="1">
      <c r="D53" s="14"/>
    </row>
    <row r="54" spans="1:4" ht="12.75">
      <c r="A54" s="35" t="s">
        <v>64</v>
      </c>
      <c r="B54" s="36" t="s">
        <v>65</v>
      </c>
      <c r="C54" s="37" t="s">
        <v>67</v>
      </c>
      <c r="D54" s="14"/>
    </row>
    <row r="55" spans="1:3" ht="12.75">
      <c r="A55" s="31">
        <v>1</v>
      </c>
      <c r="B55" s="66">
        <v>1900000</v>
      </c>
      <c r="C55" s="43">
        <f>B43*(1-G7/100)</f>
        <v>1216000</v>
      </c>
    </row>
    <row r="56" spans="1:3" ht="12.75">
      <c r="A56" s="31">
        <v>2</v>
      </c>
      <c r="B56" s="1">
        <v>1900000</v>
      </c>
      <c r="C56" s="43">
        <f>B56*(1-G7/100)</f>
        <v>1216000</v>
      </c>
    </row>
    <row r="57" spans="1:3" ht="12.75">
      <c r="A57" s="31">
        <v>3</v>
      </c>
      <c r="B57" s="1">
        <v>1900000</v>
      </c>
      <c r="C57" s="43">
        <f>B57*(1-G7/100)</f>
        <v>1216000</v>
      </c>
    </row>
    <row r="58" spans="1:3" ht="12.75">
      <c r="A58" s="31">
        <v>4</v>
      </c>
      <c r="B58" s="66">
        <v>1900000</v>
      </c>
      <c r="C58" s="43">
        <f>C43*(1-G7/100)</f>
        <v>1408000</v>
      </c>
    </row>
    <row r="59" spans="1:3" ht="12.75">
      <c r="A59" s="31">
        <v>5</v>
      </c>
      <c r="B59" s="1">
        <v>2200000</v>
      </c>
      <c r="C59" s="43">
        <f>B59*(1-G7/100)</f>
        <v>1408000</v>
      </c>
    </row>
    <row r="60" spans="1:3" ht="12.75">
      <c r="A60" s="31">
        <v>6</v>
      </c>
      <c r="B60" s="1">
        <v>2200000</v>
      </c>
      <c r="C60" s="43">
        <f>B60*(1-G7/100)</f>
        <v>1408000</v>
      </c>
    </row>
    <row r="61" spans="1:3" ht="12.75">
      <c r="A61" s="31">
        <v>7</v>
      </c>
      <c r="B61" s="1">
        <v>2200000</v>
      </c>
      <c r="C61" s="43">
        <f>B61*(1-G7/100)</f>
        <v>1408000</v>
      </c>
    </row>
    <row r="62" spans="1:3" ht="12.75">
      <c r="A62" s="31">
        <v>8</v>
      </c>
      <c r="B62" s="1">
        <v>2200000</v>
      </c>
      <c r="C62" s="43">
        <f>B62*(1-G7/100)</f>
        <v>1408000</v>
      </c>
    </row>
    <row r="63" spans="1:3" ht="12.75">
      <c r="A63" s="31">
        <v>9</v>
      </c>
      <c r="B63" s="66">
        <v>1300000</v>
      </c>
      <c r="C63" s="43">
        <f>D43*(1-D6133)</f>
        <v>1300000</v>
      </c>
    </row>
    <row r="64" spans="1:3" ht="12.75">
      <c r="A64" s="31">
        <v>10</v>
      </c>
      <c r="B64" s="1">
        <v>1300000</v>
      </c>
      <c r="C64" s="43">
        <f>B64*(1-G7/100)</f>
        <v>832000</v>
      </c>
    </row>
    <row r="65" spans="1:3" ht="12.75">
      <c r="A65" s="31">
        <v>11</v>
      </c>
      <c r="B65" s="1">
        <v>1300000</v>
      </c>
      <c r="C65" s="43">
        <f>B65*(1-G7/100)</f>
        <v>832000</v>
      </c>
    </row>
    <row r="66" spans="1:7" ht="12.75">
      <c r="A66" s="31">
        <v>12</v>
      </c>
      <c r="B66" s="5">
        <f>B89</f>
        <v>3810000</v>
      </c>
      <c r="C66" s="43">
        <f>B66*(1-G7/100)</f>
        <v>2438400</v>
      </c>
      <c r="E66" t="s">
        <v>66</v>
      </c>
      <c r="G66" s="10"/>
    </row>
    <row r="67" spans="1:3" ht="13.5" thickBot="1">
      <c r="A67" s="33" t="s">
        <v>68</v>
      </c>
      <c r="B67" s="44">
        <f>SUM(B43:B66)</f>
        <v>38474000</v>
      </c>
      <c r="C67" s="45">
        <f>SUM(C55:C66)</f>
        <v>16090400</v>
      </c>
    </row>
    <row r="68" spans="1:3" ht="12.75">
      <c r="A68" s="7"/>
      <c r="B68" s="17"/>
      <c r="C68" s="13"/>
    </row>
    <row r="69" spans="1:3" ht="15.75">
      <c r="A69" s="27" t="s">
        <v>69</v>
      </c>
      <c r="B69" s="27"/>
      <c r="C69" s="23">
        <f>C67/G9</f>
        <v>1340866.6666666667</v>
      </c>
    </row>
    <row r="70" spans="1:3" ht="15.75">
      <c r="A70" s="27"/>
      <c r="B70" s="27"/>
      <c r="C70" s="23"/>
    </row>
    <row r="71" spans="1:3" ht="15.75">
      <c r="A71" s="27"/>
      <c r="B71" s="27"/>
      <c r="C71" s="23"/>
    </row>
    <row r="72" spans="1:3" ht="15.75">
      <c r="A72" s="27"/>
      <c r="B72" s="27"/>
      <c r="C72" s="23"/>
    </row>
    <row r="73" spans="1:3" ht="12.75">
      <c r="A73" s="7"/>
      <c r="B73" s="17"/>
      <c r="C73" s="13"/>
    </row>
    <row r="75" spans="1:3" ht="16.5" thickBot="1">
      <c r="A75" s="27" t="s">
        <v>77</v>
      </c>
      <c r="B75" s="27"/>
      <c r="C75" s="27"/>
    </row>
    <row r="76" spans="1:7" ht="12.75">
      <c r="A76" s="46" t="s">
        <v>2</v>
      </c>
      <c r="B76" s="36" t="s">
        <v>61</v>
      </c>
      <c r="C76" s="36" t="s">
        <v>58</v>
      </c>
      <c r="D76" s="36" t="s">
        <v>62</v>
      </c>
      <c r="E76" s="36" t="s">
        <v>59</v>
      </c>
      <c r="F76" s="36" t="s">
        <v>6</v>
      </c>
      <c r="G76" s="37" t="s">
        <v>7</v>
      </c>
    </row>
    <row r="77" spans="1:7" ht="12.75">
      <c r="A77" s="31">
        <v>0</v>
      </c>
      <c r="B77" s="1"/>
      <c r="C77" s="2">
        <f>G4+G5+G6</f>
        <v>8800000</v>
      </c>
      <c r="D77" s="2">
        <f>(-1)*(G4+G5+G12)</f>
        <v>-8440000</v>
      </c>
      <c r="E77" s="1">
        <f>D77-D77*(G7/100)</f>
        <v>-5401600</v>
      </c>
      <c r="F77" s="1">
        <f>(1+(G8/100))^(-A77)</f>
        <v>1</v>
      </c>
      <c r="G77" s="32">
        <f>D77*F77</f>
        <v>-8440000</v>
      </c>
    </row>
    <row r="78" spans="1:7" ht="12.75">
      <c r="A78" s="31">
        <v>1</v>
      </c>
      <c r="B78" s="1">
        <v>1900000</v>
      </c>
      <c r="C78" s="12"/>
      <c r="D78" s="2">
        <f>(1-(G7/100))*(B78-C78)+C21</f>
        <v>1636000</v>
      </c>
      <c r="E78" s="1">
        <f>D78-D78*(G7/100)</f>
        <v>1047040</v>
      </c>
      <c r="F78" s="1">
        <f>(1+(G8/100))^(-A78)</f>
        <v>0.8928571428571428</v>
      </c>
      <c r="G78" s="32">
        <f aca="true" t="shared" si="2" ref="G78:G89">D78*F78</f>
        <v>1460714.2857142857</v>
      </c>
    </row>
    <row r="79" spans="1:7" ht="12.75">
      <c r="A79" s="31">
        <v>2</v>
      </c>
      <c r="B79" s="1">
        <v>1900000</v>
      </c>
      <c r="C79" s="2"/>
      <c r="D79" s="2">
        <f>(1-(G7/100))*(B79-C79)+C22</f>
        <v>1636000</v>
      </c>
      <c r="E79" s="1">
        <f>D79-D79*(G7/100)</f>
        <v>1047040</v>
      </c>
      <c r="F79" s="1">
        <f>(1+(G8/100))^(-A79)</f>
        <v>0.7971938775510203</v>
      </c>
      <c r="G79" s="32">
        <f t="shared" si="2"/>
        <v>1304209.1836734693</v>
      </c>
    </row>
    <row r="80" spans="1:7" ht="13.5" customHeight="1">
      <c r="A80" s="31">
        <v>3</v>
      </c>
      <c r="B80" s="1">
        <v>1900000</v>
      </c>
      <c r="C80" s="2"/>
      <c r="D80" s="2">
        <f>(1-(G7/100))*(B80-C80)+C23</f>
        <v>1636000</v>
      </c>
      <c r="E80" s="1">
        <f>D80-D80*(G8/100)</f>
        <v>1439680</v>
      </c>
      <c r="F80" s="1">
        <f>(1+(G8/100))^(-A80)</f>
        <v>0.7117802478134109</v>
      </c>
      <c r="G80" s="32">
        <f t="shared" si="2"/>
        <v>1164472.4854227402</v>
      </c>
    </row>
    <row r="81" spans="1:7" ht="13.5" customHeight="1">
      <c r="A81" s="31">
        <v>4</v>
      </c>
      <c r="B81" s="1">
        <v>2200000</v>
      </c>
      <c r="C81" s="2"/>
      <c r="D81" s="2">
        <f>(1-(G7/100))*(B81-C81)+C24</f>
        <v>1828000</v>
      </c>
      <c r="E81" s="1">
        <f>D81-D81*(G7/100)</f>
        <v>1169920</v>
      </c>
      <c r="F81" s="1">
        <f>(1+(G8/100))^(-A81)</f>
        <v>0.6355180784048312</v>
      </c>
      <c r="G81" s="32">
        <f t="shared" si="2"/>
        <v>1161727.0473240314</v>
      </c>
    </row>
    <row r="82" spans="1:7" ht="13.5" customHeight="1">
      <c r="A82" s="31">
        <v>5</v>
      </c>
      <c r="B82" s="1">
        <v>2200000</v>
      </c>
      <c r="C82" s="2"/>
      <c r="D82" s="2">
        <f>(1-(G7/100))*(B82-C82)+C25</f>
        <v>1828000</v>
      </c>
      <c r="E82" s="1">
        <f>D82-D82*(G7/100)</f>
        <v>1169920</v>
      </c>
      <c r="F82" s="6">
        <f>(1+(G8/100))^(-A82)</f>
        <v>0.5674268557185992</v>
      </c>
      <c r="G82" s="32">
        <f t="shared" si="2"/>
        <v>1037256.2922535993</v>
      </c>
    </row>
    <row r="83" spans="1:7" ht="13.5" customHeight="1">
      <c r="A83" s="31">
        <v>6</v>
      </c>
      <c r="B83" s="1">
        <v>2200000</v>
      </c>
      <c r="C83" s="2"/>
      <c r="D83" s="2">
        <f>(1-(G7/100))*(B83-C83)+C26</f>
        <v>1828000</v>
      </c>
      <c r="E83" s="1">
        <f>D83-D83*(G9/100)</f>
        <v>1608640</v>
      </c>
      <c r="F83" s="8">
        <f>(1+(G8/100))^(-A83)</f>
        <v>0.5066311211773207</v>
      </c>
      <c r="G83" s="32">
        <f t="shared" si="2"/>
        <v>926121.6895121422</v>
      </c>
    </row>
    <row r="84" spans="1:7" ht="12.75">
      <c r="A84" s="31">
        <v>7</v>
      </c>
      <c r="B84" s="1">
        <v>2200000</v>
      </c>
      <c r="C84" s="2"/>
      <c r="D84" s="2">
        <f>(1-(G7/100))*(B84-C84)+C27</f>
        <v>1828000</v>
      </c>
      <c r="E84" s="1">
        <f>D84-D84*(G7/100)</f>
        <v>1169920</v>
      </c>
      <c r="F84" s="6">
        <f>(1+(G8/100))^(-A84)</f>
        <v>0.45234921533689343</v>
      </c>
      <c r="G84" s="32">
        <f t="shared" si="2"/>
        <v>826894.3656358412</v>
      </c>
    </row>
    <row r="85" spans="1:7" ht="12.75">
      <c r="A85" s="31">
        <v>8</v>
      </c>
      <c r="B85" s="1">
        <v>2200000</v>
      </c>
      <c r="C85" s="2"/>
      <c r="D85" s="2">
        <f>(1-(G7/100))*(B85-C85)+C28</f>
        <v>1828000</v>
      </c>
      <c r="E85" s="1">
        <f>D85-D85*(G7/100)</f>
        <v>1169920</v>
      </c>
      <c r="F85" s="6">
        <f>(1+(G8/100))^(-A85)</f>
        <v>0.4038832279793691</v>
      </c>
      <c r="G85" s="32">
        <f t="shared" si="2"/>
        <v>738298.5407462867</v>
      </c>
    </row>
    <row r="86" spans="1:7" ht="12.75">
      <c r="A86" s="31">
        <v>9</v>
      </c>
      <c r="B86" s="1">
        <v>1300000</v>
      </c>
      <c r="C86" s="2"/>
      <c r="D86" s="2">
        <f>(1-(G7/100))*(B86-C86)+C29</f>
        <v>1252000</v>
      </c>
      <c r="E86" s="1">
        <f>D86-D86*(G7/100)</f>
        <v>801280</v>
      </c>
      <c r="F86" s="6">
        <f>(1+(G8/100))^(-A86)</f>
        <v>0.36061002498157957</v>
      </c>
      <c r="G86" s="32">
        <f t="shared" si="2"/>
        <v>451483.7512769376</v>
      </c>
    </row>
    <row r="87" spans="1:7" ht="12.75">
      <c r="A87" s="31">
        <v>10</v>
      </c>
      <c r="B87" s="1">
        <v>1300000</v>
      </c>
      <c r="C87" s="2"/>
      <c r="D87" s="2">
        <f>(1-(G7/100))*(B87-C87)+C30</f>
        <v>1252000</v>
      </c>
      <c r="E87" s="1">
        <f>D87-D87*(G7/100)</f>
        <v>801280</v>
      </c>
      <c r="F87" s="6">
        <f>(1+(G8/100))^(-A87)</f>
        <v>0.321973236590696</v>
      </c>
      <c r="G87" s="32">
        <f t="shared" si="2"/>
        <v>403110.4922115514</v>
      </c>
    </row>
    <row r="88" spans="1:7" ht="12.75">
      <c r="A88" s="31">
        <v>11</v>
      </c>
      <c r="B88" s="1">
        <v>1300000</v>
      </c>
      <c r="C88" s="2"/>
      <c r="D88" s="2">
        <f>(1-(G7/100))*(B88-C88)+C31</f>
        <v>1252000</v>
      </c>
      <c r="E88" s="1">
        <f>D88-D88*(G7/100)</f>
        <v>801280</v>
      </c>
      <c r="F88" s="6">
        <f>(1+(G8/100))^(-A88)</f>
        <v>0.28747610409883567</v>
      </c>
      <c r="G88" s="32">
        <f t="shared" si="2"/>
        <v>359920.0823317423</v>
      </c>
    </row>
    <row r="89" spans="1:7" ht="13.5" thickBot="1">
      <c r="A89" s="33">
        <v>12</v>
      </c>
      <c r="B89" s="44">
        <f>1300000+G11+D32</f>
        <v>3810000</v>
      </c>
      <c r="C89" s="47"/>
      <c r="D89" s="47">
        <f>(1-(G7/100))*(B89-C89)+C32</f>
        <v>2858400</v>
      </c>
      <c r="E89" s="48">
        <f>D89-D89*(G7/100)+1250000</f>
        <v>3079376</v>
      </c>
      <c r="F89" s="48">
        <f>(1+(G8/100))^(-A89)</f>
        <v>0.25667509294538904</v>
      </c>
      <c r="G89" s="49">
        <f t="shared" si="2"/>
        <v>733680.0856751</v>
      </c>
    </row>
    <row r="90" spans="1:7" ht="13.5" thickBot="1">
      <c r="A90" s="7"/>
      <c r="B90" s="7"/>
      <c r="E90" s="7"/>
      <c r="F90" s="52" t="s">
        <v>8</v>
      </c>
      <c r="G90" s="51">
        <f>SUM(G77:G89)</f>
        <v>2127888.301777727</v>
      </c>
    </row>
    <row r="91" spans="1:7" ht="12.75">
      <c r="A91" s="7"/>
      <c r="B91" s="7"/>
      <c r="E91" s="7"/>
      <c r="F91" s="22"/>
      <c r="G91" s="23"/>
    </row>
    <row r="92" spans="1:7" ht="15.75">
      <c r="A92" s="27" t="s">
        <v>76</v>
      </c>
      <c r="B92" s="27"/>
      <c r="C92" s="27"/>
      <c r="E92" s="7"/>
      <c r="F92" s="16">
        <f>(SUM(G78:G89)/G9)</f>
        <v>880657.3584814775</v>
      </c>
      <c r="G92" s="23"/>
    </row>
    <row r="93" spans="2:6" ht="12.75">
      <c r="B93" s="7"/>
      <c r="C93" s="7"/>
      <c r="D93" s="7"/>
      <c r="E93" s="7"/>
      <c r="F93" s="7"/>
    </row>
    <row r="95" spans="1:2" ht="15.75">
      <c r="A95" s="27" t="s">
        <v>79</v>
      </c>
      <c r="B95" s="27"/>
    </row>
    <row r="96" spans="2:3" ht="15.75">
      <c r="B96" s="27" t="s">
        <v>18</v>
      </c>
      <c r="C96" s="10">
        <f>(1-(1+(G8/100))^(-G9))/(G8/100)</f>
        <v>6.194374225455092</v>
      </c>
    </row>
    <row r="97" spans="2:3" ht="15.75">
      <c r="B97" s="27" t="s">
        <v>8</v>
      </c>
      <c r="C97" s="16">
        <f>((SUM(G78:G82))/G9)*C96</f>
        <v>3163456.2287475388</v>
      </c>
    </row>
    <row r="99" spans="1:4" ht="15.75">
      <c r="A99" s="27" t="s">
        <v>10</v>
      </c>
      <c r="B99" s="27"/>
      <c r="C99" s="27"/>
      <c r="D99" s="27"/>
    </row>
    <row r="100" spans="1:4" ht="15.75">
      <c r="A100" s="27"/>
      <c r="B100" s="27"/>
      <c r="C100" s="27"/>
      <c r="D100" s="27"/>
    </row>
    <row r="101" spans="1:7" ht="15.75">
      <c r="A101" s="27"/>
      <c r="B101" s="27" t="s">
        <v>11</v>
      </c>
      <c r="C101" s="27"/>
      <c r="D101" s="27"/>
      <c r="F101" s="16">
        <f>(G4+G6+G5)/C69</f>
        <v>6.562919504797891</v>
      </c>
      <c r="G101" s="16"/>
    </row>
    <row r="102" spans="1:4" ht="15.75">
      <c r="A102" s="27"/>
      <c r="B102" s="27"/>
      <c r="C102" s="27"/>
      <c r="D102" s="27"/>
    </row>
    <row r="103" spans="1:4" ht="15.75">
      <c r="A103" s="27" t="s">
        <v>12</v>
      </c>
      <c r="B103" s="27"/>
      <c r="C103" s="27"/>
      <c r="D103" s="27"/>
    </row>
    <row r="104" spans="1:4" ht="15.75">
      <c r="A104" s="27"/>
      <c r="B104" s="27"/>
      <c r="C104" s="27"/>
      <c r="D104" s="27"/>
    </row>
    <row r="105" spans="1:6" ht="15.75">
      <c r="A105" s="27"/>
      <c r="B105" s="27" t="s">
        <v>13</v>
      </c>
      <c r="C105" s="27"/>
      <c r="D105" s="27"/>
      <c r="F105" s="15">
        <f>1/F101</f>
        <v>0.15237121212121213</v>
      </c>
    </row>
    <row r="106" spans="1:4" ht="15.75">
      <c r="A106" s="27"/>
      <c r="B106" s="27"/>
      <c r="C106" s="27"/>
      <c r="D106" s="27"/>
    </row>
    <row r="107" spans="1:4" ht="15.75">
      <c r="A107" s="27" t="s">
        <v>14</v>
      </c>
      <c r="B107" s="27"/>
      <c r="C107" s="27"/>
      <c r="D107" s="27"/>
    </row>
    <row r="108" spans="1:4" ht="15.75">
      <c r="A108" s="27"/>
      <c r="B108" s="27"/>
      <c r="C108" s="27"/>
      <c r="D108" s="27"/>
    </row>
    <row r="109" spans="1:6" ht="15.75">
      <c r="A109" s="27"/>
      <c r="B109" s="27" t="s">
        <v>15</v>
      </c>
      <c r="C109" s="27"/>
      <c r="D109" s="27"/>
      <c r="F109" s="16">
        <f>(G4+G6+G5)/(SUM(G78:G89)/G9)</f>
        <v>9.99253559315497</v>
      </c>
    </row>
    <row r="110" spans="1:4" ht="15.75">
      <c r="A110" s="27"/>
      <c r="B110" s="27"/>
      <c r="C110" s="27"/>
      <c r="D110" s="27"/>
    </row>
    <row r="111" spans="1:4" ht="15.75">
      <c r="A111" s="27" t="s">
        <v>16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70</v>
      </c>
      <c r="C113" s="27"/>
      <c r="D113" s="27"/>
      <c r="F113" s="3">
        <v>17.1408</v>
      </c>
    </row>
    <row r="114" spans="1:4" ht="15.75">
      <c r="A114" s="27"/>
      <c r="B114" s="27" t="s">
        <v>17</v>
      </c>
      <c r="C114" s="27">
        <v>0</v>
      </c>
      <c r="D114" s="27"/>
    </row>
    <row r="115" spans="1:4" ht="15.75">
      <c r="A115" s="27"/>
      <c r="B115" s="27"/>
      <c r="C115" s="27"/>
      <c r="D115" s="27"/>
    </row>
    <row r="116" spans="1:4" ht="15.75">
      <c r="A116" s="27" t="s">
        <v>19</v>
      </c>
      <c r="B116" s="27"/>
      <c r="C116" s="27"/>
      <c r="D116" s="27"/>
    </row>
    <row r="117" spans="1:4" ht="15.75">
      <c r="A117" s="27"/>
      <c r="B117" s="27"/>
      <c r="C117" s="27"/>
      <c r="D117" s="27"/>
    </row>
    <row r="118" spans="1:6" ht="15.75">
      <c r="A118" s="27"/>
      <c r="B118" s="27" t="s">
        <v>20</v>
      </c>
      <c r="C118" s="27"/>
      <c r="F118" s="3">
        <f>(A78*G78+A79*G79+A80*G80+A81*G81+A82*G82+A83*G83+A84*G84+A85*G85+A86*G87+A88*G88+A89*G89)/(G78+G79+G80+G81+G82+G83+G84+G85+G87+G88+G89)</f>
        <v>5.045112113820654</v>
      </c>
    </row>
  </sheetData>
  <mergeCells count="4">
    <mergeCell ref="B37:D37"/>
    <mergeCell ref="B43:B44"/>
    <mergeCell ref="C43:C44"/>
    <mergeCell ref="D43:D44"/>
  </mergeCells>
  <printOptions/>
  <pageMargins left="0.96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2" width="11.00390625" style="0" customWidth="1"/>
    <col min="3" max="3" width="12.125" style="0" customWidth="1"/>
    <col min="4" max="4" width="15.75390625" style="0" customWidth="1"/>
    <col min="5" max="5" width="11.25390625" style="0" hidden="1" customWidth="1"/>
    <col min="6" max="6" width="12.375" style="0" customWidth="1"/>
    <col min="7" max="7" width="13.375" style="0" customWidth="1"/>
  </cols>
  <sheetData>
    <row r="1" ht="21">
      <c r="A1" s="89" t="s">
        <v>80</v>
      </c>
    </row>
    <row r="2" spans="1:7" ht="15.75">
      <c r="A2" s="77" t="s">
        <v>50</v>
      </c>
      <c r="B2" s="77"/>
      <c r="C2" s="77"/>
      <c r="D2" s="77"/>
      <c r="E2" s="77"/>
      <c r="F2" s="77"/>
      <c r="G2">
        <v>6300000</v>
      </c>
    </row>
    <row r="3" spans="1:7" ht="15.75">
      <c r="A3" s="77" t="s">
        <v>60</v>
      </c>
      <c r="B3" s="77"/>
      <c r="C3" s="77"/>
      <c r="D3" s="77"/>
      <c r="E3" s="77"/>
      <c r="F3" s="77"/>
      <c r="G3">
        <v>1500000</v>
      </c>
    </row>
    <row r="4" spans="1:7" ht="15.75">
      <c r="A4" s="77" t="s">
        <v>57</v>
      </c>
      <c r="B4" s="77"/>
      <c r="C4" s="77"/>
      <c r="D4" s="77"/>
      <c r="E4" s="77"/>
      <c r="F4" s="77"/>
      <c r="G4">
        <v>1000000</v>
      </c>
    </row>
    <row r="5" spans="1:7" ht="15.75">
      <c r="A5" s="27" t="s">
        <v>0</v>
      </c>
      <c r="B5" s="27" t="s">
        <v>45</v>
      </c>
      <c r="C5" s="27"/>
      <c r="G5">
        <v>30</v>
      </c>
    </row>
    <row r="6" spans="1:7" ht="15.75">
      <c r="A6" s="27" t="s">
        <v>4</v>
      </c>
      <c r="B6" s="27"/>
      <c r="C6" s="27" t="s">
        <v>3</v>
      </c>
      <c r="G6">
        <v>14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5.75">
      <c r="A10" s="27" t="s">
        <v>81</v>
      </c>
      <c r="B10" s="27"/>
      <c r="C10" s="27"/>
      <c r="G10">
        <f>G4*(1-G5/100)</f>
        <v>700000</v>
      </c>
    </row>
    <row r="11" spans="1:3" ht="15.75">
      <c r="A11" s="27"/>
      <c r="B11" s="27"/>
      <c r="C11" s="27"/>
    </row>
    <row r="12" spans="1:3" ht="15.75">
      <c r="A12" s="27"/>
      <c r="B12" s="27"/>
      <c r="C12" s="27"/>
    </row>
    <row r="13" spans="1:3" ht="15.75">
      <c r="A13" s="27"/>
      <c r="B13" s="27"/>
      <c r="C13" s="27"/>
    </row>
    <row r="14" ht="13.5" customHeight="1"/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8500000</v>
      </c>
    </row>
    <row r="42" spans="1:5" ht="12.75">
      <c r="A42" s="2" t="s">
        <v>87</v>
      </c>
      <c r="B42" s="67">
        <f>(B40+B41)*(1-G5/100)</f>
        <v>5320000</v>
      </c>
      <c r="C42" s="67">
        <f>(C40+C41)*(1-G5/100)</f>
        <v>6160000</v>
      </c>
      <c r="D42" s="67">
        <f>(D40+D41)*(1-G5/100)</f>
        <v>9590000</v>
      </c>
      <c r="E42" s="67">
        <f>(E40+E41)*(1-J5/100)</f>
        <v>0</v>
      </c>
    </row>
    <row r="43" spans="1:4" ht="12.75">
      <c r="A43" s="13"/>
      <c r="B43" s="14"/>
      <c r="C43" s="14"/>
      <c r="D43" s="14"/>
    </row>
    <row r="44" spans="1:4" ht="13.5" thickBot="1">
      <c r="A44" s="13"/>
      <c r="B44" s="14"/>
      <c r="C44" s="14"/>
      <c r="D44" s="14"/>
    </row>
    <row r="45" spans="1:4" ht="12.75">
      <c r="A45" s="35" t="s">
        <v>64</v>
      </c>
      <c r="B45" s="36" t="s">
        <v>65</v>
      </c>
      <c r="C45" s="37" t="s">
        <v>67</v>
      </c>
      <c r="D45" s="14"/>
    </row>
    <row r="46" spans="1:3" ht="12.75">
      <c r="A46" s="31">
        <v>1</v>
      </c>
      <c r="B46" s="1">
        <v>1900000</v>
      </c>
      <c r="C46" s="43">
        <f>B46*(1-G5/100)</f>
        <v>1330000</v>
      </c>
    </row>
    <row r="47" spans="1:3" ht="12.75">
      <c r="A47" s="31">
        <v>2</v>
      </c>
      <c r="B47" s="1">
        <v>1900000</v>
      </c>
      <c r="C47" s="43">
        <f>B47*(1-G5/100)</f>
        <v>1330000</v>
      </c>
    </row>
    <row r="48" spans="1:3" ht="12.75">
      <c r="A48" s="31">
        <v>3</v>
      </c>
      <c r="B48" s="1">
        <v>1900000</v>
      </c>
      <c r="C48" s="43">
        <f>B48*(1-G5/100)</f>
        <v>1330000</v>
      </c>
    </row>
    <row r="49" spans="1:3" ht="12.75">
      <c r="A49" s="31">
        <v>4</v>
      </c>
      <c r="B49" s="1">
        <v>2200000</v>
      </c>
      <c r="C49" s="43">
        <f>B49*(1-G5/100)</f>
        <v>1540000</v>
      </c>
    </row>
    <row r="50" spans="1:3" ht="12.75">
      <c r="A50" s="31">
        <v>5</v>
      </c>
      <c r="B50" s="1">
        <v>2200000</v>
      </c>
      <c r="C50" s="43">
        <f>B50*(1-G5/100)</f>
        <v>1540000</v>
      </c>
    </row>
    <row r="51" spans="1:3" ht="12.75">
      <c r="A51" s="31">
        <v>6</v>
      </c>
      <c r="B51" s="1">
        <v>2200000</v>
      </c>
      <c r="C51" s="43">
        <f>B51*(1-G5/100)</f>
        <v>1540000</v>
      </c>
    </row>
    <row r="52" spans="1:3" ht="12.75">
      <c r="A52" s="31">
        <v>7</v>
      </c>
      <c r="B52" s="1">
        <v>2200000</v>
      </c>
      <c r="C52" s="43">
        <f>B52*(1-G5/100)</f>
        <v>1540000</v>
      </c>
    </row>
    <row r="53" spans="1:3" ht="12.75">
      <c r="A53" s="31">
        <v>8</v>
      </c>
      <c r="B53" s="1">
        <v>2200000</v>
      </c>
      <c r="C53" s="43">
        <f>B53*(1-G5/100)</f>
        <v>1540000</v>
      </c>
    </row>
    <row r="54" spans="1:3" ht="12.75">
      <c r="A54" s="31">
        <v>9</v>
      </c>
      <c r="B54" s="1">
        <v>1300000</v>
      </c>
      <c r="C54" s="43">
        <f>B54*(1-D6122)</f>
        <v>1300000</v>
      </c>
    </row>
    <row r="55" spans="1:3" ht="12.75">
      <c r="A55" s="31">
        <v>10</v>
      </c>
      <c r="B55" s="1">
        <v>1300000</v>
      </c>
      <c r="C55" s="43">
        <f>B55*(1-G5/100)</f>
        <v>910000</v>
      </c>
    </row>
    <row r="56" spans="1:3" ht="12.75">
      <c r="A56" s="31">
        <v>11</v>
      </c>
      <c r="B56" s="1">
        <v>1300000</v>
      </c>
      <c r="C56" s="43">
        <f>B56*(1-G5/100)</f>
        <v>910000</v>
      </c>
    </row>
    <row r="57" spans="1:7" ht="12.75">
      <c r="A57" s="31">
        <v>12</v>
      </c>
      <c r="B57" s="5">
        <f>B79</f>
        <v>3810000</v>
      </c>
      <c r="C57" s="43">
        <f>B57*(1-G5/100)</f>
        <v>2667000</v>
      </c>
      <c r="E57" t="s">
        <v>66</v>
      </c>
      <c r="G57" s="10"/>
    </row>
    <row r="58" spans="1:3" ht="13.5" thickBot="1">
      <c r="A58" s="33" t="s">
        <v>68</v>
      </c>
      <c r="B58" s="44">
        <f>SUM(B46:B57)</f>
        <v>24410000</v>
      </c>
      <c r="C58" s="45">
        <f>SUM(C46:C57)</f>
        <v>17477000</v>
      </c>
    </row>
    <row r="59" spans="1:3" ht="12.75">
      <c r="A59" s="7"/>
      <c r="B59" s="17"/>
      <c r="C59" s="13"/>
    </row>
    <row r="60" spans="1:3" ht="15.75">
      <c r="A60" s="27" t="s">
        <v>69</v>
      </c>
      <c r="B60" s="27"/>
      <c r="C60" s="14">
        <f>C58/G7</f>
        <v>1456416.6666666667</v>
      </c>
    </row>
    <row r="61" spans="1:3" ht="15.75">
      <c r="A61" s="27"/>
      <c r="B61" s="27"/>
      <c r="C61" s="14"/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5" spans="1:4" ht="16.5" thickBot="1">
      <c r="A65" s="27" t="s">
        <v>77</v>
      </c>
      <c r="B65" s="27"/>
      <c r="C65" s="27"/>
      <c r="D65" s="27"/>
    </row>
    <row r="66" spans="1:7" ht="12.75">
      <c r="A66" s="46" t="s">
        <v>2</v>
      </c>
      <c r="B66" s="36" t="s">
        <v>61</v>
      </c>
      <c r="C66" s="36" t="s">
        <v>58</v>
      </c>
      <c r="D66" s="36" t="s">
        <v>62</v>
      </c>
      <c r="E66" s="36" t="s">
        <v>59</v>
      </c>
      <c r="F66" s="36" t="s">
        <v>6</v>
      </c>
      <c r="G66" s="37" t="s">
        <v>7</v>
      </c>
    </row>
    <row r="67" spans="1:7" ht="12.75">
      <c r="A67" s="31">
        <v>0</v>
      </c>
      <c r="B67" s="1"/>
      <c r="C67" s="2">
        <f>G2+G3+G4</f>
        <v>8800000</v>
      </c>
      <c r="D67" s="2">
        <f>(-1)*(G2+G3+G10)</f>
        <v>-8500000</v>
      </c>
      <c r="E67" s="1">
        <f>D67-D67*(G5/100)</f>
        <v>-5950000</v>
      </c>
      <c r="F67" s="1">
        <f>(1+(G6/100))^(-A67)</f>
        <v>1</v>
      </c>
      <c r="G67" s="32">
        <f>D67*F67</f>
        <v>-8500000</v>
      </c>
    </row>
    <row r="68" spans="1:7" ht="12.75">
      <c r="A68" s="31">
        <v>1</v>
      </c>
      <c r="B68" s="1">
        <v>1900000</v>
      </c>
      <c r="C68" s="12"/>
      <c r="D68" s="2">
        <f>(1-(G5/100))*(B68-C68)+C18</f>
        <v>1750000</v>
      </c>
      <c r="E68" s="1">
        <f>D68-D68*(G5/100)</f>
        <v>1225000</v>
      </c>
      <c r="F68" s="1">
        <f>(1+(G6/100))^(-A68)</f>
        <v>0.8771929824561403</v>
      </c>
      <c r="G68" s="32">
        <f aca="true" t="shared" si="2" ref="G68:G79">D68*F68</f>
        <v>1535087.7192982456</v>
      </c>
    </row>
    <row r="69" spans="1:7" ht="12.75">
      <c r="A69" s="31">
        <v>2</v>
      </c>
      <c r="B69" s="1">
        <v>1900000</v>
      </c>
      <c r="C69" s="2"/>
      <c r="D69" s="2">
        <f>(1-(G5/100))*(B69-C69)+C19</f>
        <v>1750000</v>
      </c>
      <c r="E69" s="1">
        <f>D69-D69*(G5/100)</f>
        <v>1225000</v>
      </c>
      <c r="F69" s="1">
        <f>(1+(G6/100))^(-A69)</f>
        <v>0.7694675284702984</v>
      </c>
      <c r="G69" s="32">
        <f t="shared" si="2"/>
        <v>1346568.1748230222</v>
      </c>
    </row>
    <row r="70" spans="1:7" ht="13.5" customHeight="1">
      <c r="A70" s="31">
        <v>3</v>
      </c>
      <c r="B70" s="1">
        <v>1900000</v>
      </c>
      <c r="C70" s="2"/>
      <c r="D70" s="2">
        <f>(1-(G5/100))*(B70-C70)+C20</f>
        <v>1750000</v>
      </c>
      <c r="E70" s="1">
        <f>D70-D70*(G6/100)</f>
        <v>1505000</v>
      </c>
      <c r="F70" s="1">
        <f>(1+(G6/100))^(-A70)</f>
        <v>0.6749715162020161</v>
      </c>
      <c r="G70" s="32">
        <f t="shared" si="2"/>
        <v>1181200.1533535281</v>
      </c>
    </row>
    <row r="71" spans="1:7" ht="13.5" customHeight="1">
      <c r="A71" s="31">
        <v>4</v>
      </c>
      <c r="B71" s="1">
        <v>2200000</v>
      </c>
      <c r="C71" s="2"/>
      <c r="D71" s="2">
        <f>(1-(G5/100))*(B71-C71)+C21</f>
        <v>1960000</v>
      </c>
      <c r="E71" s="1">
        <f>D71-D71*(G5/100)</f>
        <v>1372000</v>
      </c>
      <c r="F71" s="1">
        <f>(1+(G6/100))^(-A71)</f>
        <v>0.5920802773701894</v>
      </c>
      <c r="G71" s="32">
        <f t="shared" si="2"/>
        <v>1160477.3436455713</v>
      </c>
    </row>
    <row r="72" spans="1:7" ht="13.5" customHeight="1">
      <c r="A72" s="31">
        <v>5</v>
      </c>
      <c r="B72" s="1">
        <v>2200000</v>
      </c>
      <c r="C72" s="2"/>
      <c r="D72" s="2">
        <f>(1-(G5/100))*(B72-C72)+C22</f>
        <v>1960000</v>
      </c>
      <c r="E72" s="1">
        <f>D72-D72*(G5/100)</f>
        <v>1372000</v>
      </c>
      <c r="F72" s="6">
        <f>(1+(G6/100))^(-A72)</f>
        <v>0.5193686643598152</v>
      </c>
      <c r="G72" s="32">
        <f t="shared" si="2"/>
        <v>1017962.5821452378</v>
      </c>
    </row>
    <row r="73" spans="1:7" ht="13.5" customHeight="1">
      <c r="A73" s="31">
        <v>6</v>
      </c>
      <c r="B73" s="1">
        <v>2200000</v>
      </c>
      <c r="C73" s="2"/>
      <c r="D73" s="2">
        <f>(1-(G5/100))*(B73-C73)+C23</f>
        <v>1960000</v>
      </c>
      <c r="E73" s="1">
        <f>D73-D73*(G7/100)</f>
        <v>1724800</v>
      </c>
      <c r="F73" s="8">
        <f>(1+(G6/100))^(-A73)</f>
        <v>0.45558654768404844</v>
      </c>
      <c r="G73" s="32">
        <f t="shared" si="2"/>
        <v>892949.633460735</v>
      </c>
    </row>
    <row r="74" spans="1:7" ht="12.75">
      <c r="A74" s="31">
        <v>7</v>
      </c>
      <c r="B74" s="1">
        <v>2200000</v>
      </c>
      <c r="C74" s="2"/>
      <c r="D74" s="2">
        <f>(1-(G5/100))*(B74-C74)+C24</f>
        <v>1960000</v>
      </c>
      <c r="E74" s="1">
        <f>D74-D74*(G5/100)</f>
        <v>1372000</v>
      </c>
      <c r="F74" s="6">
        <f>(1+(G6/100))^(-A74)</f>
        <v>0.39963732252986695</v>
      </c>
      <c r="G74" s="32">
        <f t="shared" si="2"/>
        <v>783289.1521585392</v>
      </c>
    </row>
    <row r="75" spans="1:7" ht="12.75">
      <c r="A75" s="31">
        <v>8</v>
      </c>
      <c r="B75" s="1">
        <v>2200000</v>
      </c>
      <c r="C75" s="2"/>
      <c r="D75" s="2">
        <f>(1-(G5/100))*(B75-C75)+C25</f>
        <v>1960000</v>
      </c>
      <c r="E75" s="1">
        <f>D75-D75*(G5/100)</f>
        <v>1372000</v>
      </c>
      <c r="F75" s="6">
        <f>(1+(G6/100))^(-A75)</f>
        <v>0.35055905485076044</v>
      </c>
      <c r="G75" s="32">
        <f t="shared" si="2"/>
        <v>687095.7475074905</v>
      </c>
    </row>
    <row r="76" spans="1:7" ht="12.75">
      <c r="A76" s="31">
        <v>9</v>
      </c>
      <c r="B76" s="1">
        <v>1300000</v>
      </c>
      <c r="C76" s="2"/>
      <c r="D76" s="2">
        <f>(1-(G5/100))*(B76-C76)+C26</f>
        <v>1330000</v>
      </c>
      <c r="E76" s="1">
        <f>D76-D76*(G5/100)</f>
        <v>931000</v>
      </c>
      <c r="F76" s="6">
        <f>(1+(G6/100))^(-A76)</f>
        <v>0.3075079428515442</v>
      </c>
      <c r="G76" s="32">
        <f t="shared" si="2"/>
        <v>408985.5639925538</v>
      </c>
    </row>
    <row r="77" spans="1:7" ht="12.75">
      <c r="A77" s="31">
        <v>10</v>
      </c>
      <c r="B77" s="1">
        <v>1300000</v>
      </c>
      <c r="C77" s="2"/>
      <c r="D77" s="2">
        <f>(1-(G5/100))*(B77-C77)+C27</f>
        <v>1330000</v>
      </c>
      <c r="E77" s="1">
        <f>D77-D77*(G5/100)</f>
        <v>931000</v>
      </c>
      <c r="F77" s="6">
        <f>(1+(G6/100))^(-A77)</f>
        <v>0.2697438095188984</v>
      </c>
      <c r="G77" s="32">
        <f t="shared" si="2"/>
        <v>358759.2666601349</v>
      </c>
    </row>
    <row r="78" spans="1:7" ht="12.75">
      <c r="A78" s="31">
        <v>11</v>
      </c>
      <c r="B78" s="1">
        <v>1300000</v>
      </c>
      <c r="C78" s="2"/>
      <c r="D78" s="2">
        <f>(1-(G5/100))*(B78-C78)+C28</f>
        <v>1330000</v>
      </c>
      <c r="E78" s="1">
        <f>D78-D78*(G5/100)</f>
        <v>931000</v>
      </c>
      <c r="F78" s="6">
        <f>(1+(G6/100))^(-A78)</f>
        <v>0.23661737677096348</v>
      </c>
      <c r="G78" s="32">
        <f t="shared" si="2"/>
        <v>314701.11110538145</v>
      </c>
    </row>
    <row r="79" spans="1:7" ht="13.5" thickBot="1">
      <c r="A79" s="33">
        <v>12</v>
      </c>
      <c r="B79" s="44">
        <f>1300000+G9+D29</f>
        <v>3810000</v>
      </c>
      <c r="C79" s="47"/>
      <c r="D79" s="47">
        <f>(1-(G5/100))*(B79-C79)+C29</f>
        <v>3087000</v>
      </c>
      <c r="E79" s="48">
        <f>D79-D79*(G5/100)+1250000</f>
        <v>3410900</v>
      </c>
      <c r="F79" s="48">
        <f>(1+(G6/100))^(-A79)</f>
        <v>0.2075591024306697</v>
      </c>
      <c r="G79" s="49">
        <f t="shared" si="2"/>
        <v>640734.9492034774</v>
      </c>
    </row>
    <row r="80" spans="1:7" ht="13.5" thickBot="1">
      <c r="A80" s="7"/>
      <c r="B80" s="7"/>
      <c r="E80" s="7"/>
      <c r="F80" s="50" t="s">
        <v>8</v>
      </c>
      <c r="G80" s="51">
        <f>SUM(G67:G79)</f>
        <v>1827811.3973539174</v>
      </c>
    </row>
    <row r="81" spans="5:6" ht="12.75">
      <c r="E81" s="7"/>
      <c r="F81" s="7"/>
    </row>
    <row r="82" spans="1:6" ht="15.75">
      <c r="A82" s="27" t="s">
        <v>72</v>
      </c>
      <c r="B82" s="27"/>
      <c r="C82" s="27"/>
      <c r="E82" s="7"/>
      <c r="F82" s="10">
        <f>(SUM(G68:G79)/G7)</f>
        <v>860650.9497794932</v>
      </c>
    </row>
    <row r="84" spans="1:4" ht="15.75">
      <c r="A84" s="27" t="s">
        <v>79</v>
      </c>
      <c r="B84" s="27"/>
      <c r="C84" s="27"/>
      <c r="D84" s="27"/>
    </row>
    <row r="85" spans="1:4" ht="15.75">
      <c r="A85" s="27"/>
      <c r="B85" s="27" t="s">
        <v>18</v>
      </c>
      <c r="C85" s="27">
        <f>(1-(1+(G6/100))^(-G7))/(G6/100)</f>
        <v>5.660292125495216</v>
      </c>
      <c r="D85" s="27"/>
    </row>
    <row r="86" spans="1:4" ht="15.75">
      <c r="A86" s="27"/>
      <c r="B86" s="27" t="s">
        <v>8</v>
      </c>
      <c r="C86" s="27">
        <f>((SUM(G68:G72))/G7)*C85</f>
        <v>2943963.204196692</v>
      </c>
      <c r="D86" s="27"/>
    </row>
    <row r="87" spans="1:4" ht="15.75">
      <c r="A87" s="27"/>
      <c r="B87" s="27"/>
      <c r="C87" s="27"/>
      <c r="D87" s="27"/>
    </row>
    <row r="88" spans="1:4" ht="15.75">
      <c r="A88" s="27" t="s">
        <v>10</v>
      </c>
      <c r="B88" s="27"/>
      <c r="C88" s="27"/>
      <c r="D88" s="27"/>
    </row>
    <row r="89" spans="1:4" ht="15.75">
      <c r="A89" s="27"/>
      <c r="B89" s="27"/>
      <c r="C89" s="27"/>
      <c r="D89" s="27"/>
    </row>
    <row r="90" spans="1:6" ht="15.75">
      <c r="A90" s="27"/>
      <c r="B90" s="27" t="s">
        <v>11</v>
      </c>
      <c r="C90" s="27"/>
      <c r="D90" s="27"/>
      <c r="F90" s="16">
        <f>(G2+G4+G4)/C60</f>
        <v>5.698918578703439</v>
      </c>
    </row>
    <row r="91" spans="1:4" ht="15.75">
      <c r="A91" s="27"/>
      <c r="B91" s="27"/>
      <c r="C91" s="27"/>
      <c r="D91" s="27"/>
    </row>
    <row r="92" spans="1:4" ht="15.75">
      <c r="A92" s="27" t="s">
        <v>12</v>
      </c>
      <c r="B92" s="27"/>
      <c r="C92" s="27"/>
      <c r="D92" s="27"/>
    </row>
    <row r="93" spans="1:4" ht="15.75">
      <c r="A93" s="27"/>
      <c r="B93" s="27"/>
      <c r="C93" s="27"/>
      <c r="D93" s="27"/>
    </row>
    <row r="94" spans="1:6" ht="15.75">
      <c r="A94" s="27"/>
      <c r="B94" s="27" t="s">
        <v>13</v>
      </c>
      <c r="C94" s="27"/>
      <c r="D94" s="27"/>
      <c r="F94" s="15">
        <f>1/F90</f>
        <v>0.1754718875502008</v>
      </c>
    </row>
    <row r="95" spans="1:4" ht="15.75">
      <c r="A95" s="27"/>
      <c r="B95" s="27"/>
      <c r="C95" s="27"/>
      <c r="D95" s="27"/>
    </row>
    <row r="96" spans="1:4" ht="15.75">
      <c r="A96" s="27" t="s">
        <v>14</v>
      </c>
      <c r="B96" s="27"/>
      <c r="C96" s="27"/>
      <c r="D96" s="27"/>
    </row>
    <row r="97" spans="1:4" ht="15.75">
      <c r="A97" s="27"/>
      <c r="B97" s="27"/>
      <c r="C97" s="27"/>
      <c r="D97" s="27"/>
    </row>
    <row r="98" spans="1:6" ht="15.75">
      <c r="A98" s="27" t="s">
        <v>15</v>
      </c>
      <c r="B98" s="27"/>
      <c r="C98" s="27"/>
      <c r="F98" s="16">
        <f>(G2+G4+G3)/(SUM(G68:G79)/G7)</f>
        <v>10.224818786587806</v>
      </c>
    </row>
    <row r="99" spans="1:4" ht="15.75">
      <c r="A99" s="27"/>
      <c r="B99" s="27"/>
      <c r="C99" s="27"/>
      <c r="D99" s="27"/>
    </row>
    <row r="100" spans="1:4" ht="15.75">
      <c r="A100" s="27" t="s">
        <v>16</v>
      </c>
      <c r="B100" s="27"/>
      <c r="C100" s="27"/>
      <c r="D100" s="27"/>
    </row>
    <row r="101" spans="1:4" ht="15.75">
      <c r="A101" s="27"/>
      <c r="B101" s="27"/>
      <c r="C101" s="27"/>
      <c r="D101" s="27"/>
    </row>
    <row r="102" spans="1:6" ht="15.75">
      <c r="A102" s="27"/>
      <c r="B102" s="27" t="s">
        <v>70</v>
      </c>
      <c r="C102" s="27"/>
      <c r="D102" s="27"/>
      <c r="F102" s="3">
        <v>18.67105</v>
      </c>
    </row>
    <row r="103" spans="1:4" ht="15.75">
      <c r="A103" s="27"/>
      <c r="B103" s="27" t="s">
        <v>17</v>
      </c>
      <c r="C103" s="27">
        <v>0</v>
      </c>
      <c r="D103" s="27"/>
    </row>
    <row r="104" spans="1:4" ht="15.75">
      <c r="A104" s="27"/>
      <c r="B104" s="27"/>
      <c r="C104" s="27"/>
      <c r="D104" s="27"/>
    </row>
    <row r="105" spans="1:4" ht="15.75">
      <c r="A105" s="27" t="s">
        <v>19</v>
      </c>
      <c r="B105" s="27"/>
      <c r="C105" s="27"/>
      <c r="D105" s="27"/>
    </row>
    <row r="106" spans="1:4" ht="15.75">
      <c r="A106" s="27"/>
      <c r="B106" s="27"/>
      <c r="C106" s="27"/>
      <c r="D106" s="27"/>
    </row>
    <row r="107" spans="1:6" ht="15.75">
      <c r="A107" s="27"/>
      <c r="B107" s="27" t="s">
        <v>20</v>
      </c>
      <c r="C107" s="27"/>
      <c r="F107" s="3">
        <f>(A68*G68+A69*G69+A70*G70+A71*G71+A72*G72+A73*G73+A74*G74+A75*G75+A76*G77+A78*G78+A79*G79)/(G68+G69+G70+G71+G72+G73+G74+G75+G77+G78+G79)</f>
        <v>4.861502811210097</v>
      </c>
    </row>
  </sheetData>
  <mergeCells count="7">
    <mergeCell ref="B38:B39"/>
    <mergeCell ref="C38:C39"/>
    <mergeCell ref="D38:D39"/>
    <mergeCell ref="A2:F2"/>
    <mergeCell ref="A3:F3"/>
    <mergeCell ref="A4:F4"/>
    <mergeCell ref="B32:D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8.125" style="0" bestFit="1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1">
      <c r="A1" s="89" t="s">
        <v>94</v>
      </c>
    </row>
    <row r="2" spans="1:7" ht="15.75">
      <c r="A2" s="27" t="s">
        <v>50</v>
      </c>
      <c r="B2" s="27"/>
      <c r="C2" s="27"/>
      <c r="G2">
        <v>6300000</v>
      </c>
    </row>
    <row r="3" spans="1:7" ht="15.75">
      <c r="A3" s="27" t="s">
        <v>60</v>
      </c>
      <c r="B3" s="27"/>
      <c r="C3" s="27"/>
      <c r="G3">
        <v>1500000</v>
      </c>
    </row>
    <row r="4" spans="1:7" ht="15.75">
      <c r="A4" s="27" t="s">
        <v>57</v>
      </c>
      <c r="B4" s="27"/>
      <c r="C4" s="27"/>
      <c r="G4">
        <v>750000</v>
      </c>
    </row>
    <row r="5" spans="1:7" ht="15.75">
      <c r="A5" s="27" t="s">
        <v>0</v>
      </c>
      <c r="C5" s="27" t="s">
        <v>45</v>
      </c>
      <c r="G5">
        <v>40</v>
      </c>
    </row>
    <row r="6" spans="1:7" ht="15.75">
      <c r="A6" s="27" t="s">
        <v>4</v>
      </c>
      <c r="B6" s="27"/>
      <c r="C6" s="27" t="s">
        <v>3</v>
      </c>
      <c r="G6">
        <v>12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3.5" customHeight="1">
      <c r="A10" s="27" t="s">
        <v>81</v>
      </c>
      <c r="B10" s="27"/>
      <c r="C10" s="27"/>
      <c r="G10">
        <f>G4*(1-G5/100)</f>
        <v>450000</v>
      </c>
    </row>
    <row r="11" spans="1:3" ht="13.5" customHeight="1">
      <c r="A11" s="27"/>
      <c r="B11" s="27"/>
      <c r="C11" s="27"/>
    </row>
    <row r="12" spans="1:3" ht="13.5" customHeight="1">
      <c r="A12" s="27"/>
      <c r="B12" s="27"/>
      <c r="C12" s="27"/>
    </row>
    <row r="13" spans="1:3" ht="13.5" customHeight="1">
      <c r="A13" s="27"/>
      <c r="B13" s="27"/>
      <c r="C13" s="27"/>
    </row>
    <row r="14" spans="1:3" ht="13.5" customHeight="1">
      <c r="A14" s="27"/>
      <c r="B14" s="27"/>
      <c r="C14" s="27"/>
    </row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8250000</v>
      </c>
    </row>
    <row r="42" spans="1:4" ht="12.75">
      <c r="A42" s="2" t="s">
        <v>87</v>
      </c>
      <c r="B42" s="67">
        <f>(B40+B41)*(1-G5/100)</f>
        <v>4560000</v>
      </c>
      <c r="C42" s="67">
        <f>(C40+C41)*(1-G5/100)</f>
        <v>5280000</v>
      </c>
      <c r="D42" s="67">
        <f>(D40+D41)*(1-G5/100)</f>
        <v>8070000</v>
      </c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3.5" thickBot="1">
      <c r="A45" s="13"/>
      <c r="B45" s="14"/>
      <c r="C45" s="14"/>
      <c r="D45" s="14"/>
    </row>
    <row r="46" spans="1:4" ht="12.75">
      <c r="A46" s="35" t="s">
        <v>64</v>
      </c>
      <c r="B46" s="36" t="s">
        <v>65</v>
      </c>
      <c r="C46" s="37" t="s">
        <v>67</v>
      </c>
      <c r="D46" s="14"/>
    </row>
    <row r="47" spans="1:3" ht="12.75">
      <c r="A47" s="31">
        <v>1</v>
      </c>
      <c r="B47" s="1">
        <v>1900000</v>
      </c>
      <c r="C47" s="43">
        <f>B47*(1-G5/100)</f>
        <v>1140000</v>
      </c>
    </row>
    <row r="48" spans="1:3" ht="12.75">
      <c r="A48" s="31">
        <v>2</v>
      </c>
      <c r="B48" s="1">
        <v>1900000</v>
      </c>
      <c r="C48" s="43">
        <f>B48*(1-G5/100)</f>
        <v>1140000</v>
      </c>
    </row>
    <row r="49" spans="1:3" ht="12.75">
      <c r="A49" s="31">
        <v>3</v>
      </c>
      <c r="B49" s="1">
        <v>1900000</v>
      </c>
      <c r="C49" s="43">
        <f>B49*(1-G5/100)</f>
        <v>1140000</v>
      </c>
    </row>
    <row r="50" spans="1:3" ht="12.75">
      <c r="A50" s="31">
        <v>4</v>
      </c>
      <c r="B50" s="1">
        <v>2200000</v>
      </c>
      <c r="C50" s="43">
        <f>B50*(1-G5/100)</f>
        <v>1320000</v>
      </c>
    </row>
    <row r="51" spans="1:3" ht="12.75">
      <c r="A51" s="31">
        <v>5</v>
      </c>
      <c r="B51" s="1">
        <v>2200000</v>
      </c>
      <c r="C51" s="43">
        <f>B51*(1-G5/100)</f>
        <v>1320000</v>
      </c>
    </row>
    <row r="52" spans="1:3" ht="12.75">
      <c r="A52" s="31">
        <v>6</v>
      </c>
      <c r="B52" s="1">
        <v>2200000</v>
      </c>
      <c r="C52" s="43">
        <f>B52*(1-G5/100)</f>
        <v>1320000</v>
      </c>
    </row>
    <row r="53" spans="1:3" ht="12.75">
      <c r="A53" s="31">
        <v>7</v>
      </c>
      <c r="B53" s="1">
        <v>2200000</v>
      </c>
      <c r="C53" s="43">
        <f>B53*(1-G5/100)</f>
        <v>1320000</v>
      </c>
    </row>
    <row r="54" spans="1:3" ht="12.75">
      <c r="A54" s="31">
        <v>8</v>
      </c>
      <c r="B54" s="1">
        <v>2200000</v>
      </c>
      <c r="C54" s="43">
        <f>B54*(1-G5/100)</f>
        <v>1320000</v>
      </c>
    </row>
    <row r="55" spans="1:3" ht="12.75">
      <c r="A55" s="31">
        <v>9</v>
      </c>
      <c r="B55" s="1">
        <v>1300000</v>
      </c>
      <c r="C55" s="43">
        <f>B55*(1-D6128)</f>
        <v>1300000</v>
      </c>
    </row>
    <row r="56" spans="1:3" ht="12.75">
      <c r="A56" s="31">
        <v>10</v>
      </c>
      <c r="B56" s="1">
        <v>1300000</v>
      </c>
      <c r="C56" s="43">
        <f>B56*(1-G5/100)</f>
        <v>780000</v>
      </c>
    </row>
    <row r="57" spans="1:3" ht="12.75">
      <c r="A57" s="31">
        <v>11</v>
      </c>
      <c r="B57" s="1">
        <v>1300000</v>
      </c>
      <c r="C57" s="43">
        <f>B57*(1-G5/100)</f>
        <v>780000</v>
      </c>
    </row>
    <row r="58" spans="1:7" ht="12.75">
      <c r="A58" s="31">
        <v>12</v>
      </c>
      <c r="B58" s="5">
        <f>B84</f>
        <v>3810000</v>
      </c>
      <c r="C58" s="43">
        <f>B58*(1-G5/100)</f>
        <v>2286000</v>
      </c>
      <c r="E58" t="s">
        <v>66</v>
      </c>
      <c r="G58" s="10"/>
    </row>
    <row r="59" spans="1:3" ht="13.5" thickBot="1">
      <c r="A59" s="33" t="s">
        <v>68</v>
      </c>
      <c r="B59" s="44">
        <f>SUM(B47:B58)</f>
        <v>24410000</v>
      </c>
      <c r="C59" s="45">
        <f>SUM(C47:C58)</f>
        <v>15166000</v>
      </c>
    </row>
    <row r="60" spans="1:3" ht="12.75">
      <c r="A60" s="7"/>
      <c r="B60" s="17"/>
      <c r="C60" s="13"/>
    </row>
    <row r="61" spans="1:3" ht="15.75">
      <c r="A61" s="27" t="s">
        <v>69</v>
      </c>
      <c r="B61" s="27"/>
      <c r="C61" s="14">
        <f>C59/G7</f>
        <v>1263833.3333333333</v>
      </c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4" spans="1:3" ht="15.75">
      <c r="A64" s="27"/>
      <c r="B64" s="27"/>
      <c r="C64" s="14"/>
    </row>
    <row r="65" spans="1:3" ht="15.75">
      <c r="A65" s="27"/>
      <c r="B65" s="27"/>
      <c r="C65" s="14"/>
    </row>
    <row r="66" spans="1:3" ht="15.75">
      <c r="A66" s="27"/>
      <c r="B66" s="27"/>
      <c r="C66" s="14"/>
    </row>
    <row r="67" spans="1:3" ht="15.75">
      <c r="A67" s="27"/>
      <c r="B67" s="27"/>
      <c r="C67" s="14"/>
    </row>
    <row r="68" spans="1:3" ht="12.75">
      <c r="A68" s="7"/>
      <c r="B68" s="17"/>
      <c r="C68" s="13"/>
    </row>
    <row r="70" spans="1:4" ht="16.5" thickBot="1">
      <c r="A70" s="27" t="s">
        <v>9</v>
      </c>
      <c r="B70" s="27"/>
      <c r="C70" s="27"/>
      <c r="D70" s="27"/>
    </row>
    <row r="71" spans="1:7" ht="12.75">
      <c r="A71" s="46" t="s">
        <v>2</v>
      </c>
      <c r="B71" s="36" t="s">
        <v>61</v>
      </c>
      <c r="C71" s="36" t="s">
        <v>58</v>
      </c>
      <c r="D71" s="36" t="s">
        <v>62</v>
      </c>
      <c r="E71" s="36" t="s">
        <v>59</v>
      </c>
      <c r="F71" s="36" t="s">
        <v>6</v>
      </c>
      <c r="G71" s="37" t="s">
        <v>7</v>
      </c>
    </row>
    <row r="72" spans="1:7" ht="12.75">
      <c r="A72" s="31">
        <v>0</v>
      </c>
      <c r="B72" s="1"/>
      <c r="C72" s="2">
        <f>Вариант3!G2+Вариант3!G3+Вариант3!G4</f>
        <v>8550000</v>
      </c>
      <c r="D72" s="2">
        <f>(G10+G3+G2)*(-1)</f>
        <v>-8250000</v>
      </c>
      <c r="E72" s="1">
        <f>D72-D72*(G5/100)</f>
        <v>-4950000</v>
      </c>
      <c r="F72" s="1">
        <f>(1+(G6/100))^(-A72)</f>
        <v>1</v>
      </c>
      <c r="G72" s="32">
        <f>D72*F72</f>
        <v>-8250000</v>
      </c>
    </row>
    <row r="73" spans="1:7" ht="12.75">
      <c r="A73" s="31">
        <v>1</v>
      </c>
      <c r="B73" s="1">
        <v>1900000</v>
      </c>
      <c r="C73" s="12"/>
      <c r="D73" s="2">
        <f>(1-(G5/100))*(B73-C73)+C18</f>
        <v>1560000</v>
      </c>
      <c r="E73" s="1">
        <f>D73-D73*(G5/100)</f>
        <v>936000</v>
      </c>
      <c r="F73" s="1">
        <f>(1+(G6/100))^(-A73)</f>
        <v>0.8928571428571428</v>
      </c>
      <c r="G73" s="32">
        <f aca="true" t="shared" si="2" ref="G73:G84">D73*F73</f>
        <v>1392857.1428571427</v>
      </c>
    </row>
    <row r="74" spans="1:7" ht="12.75">
      <c r="A74" s="31">
        <v>2</v>
      </c>
      <c r="B74" s="1">
        <v>1900000</v>
      </c>
      <c r="C74" s="2"/>
      <c r="D74" s="2">
        <f>(1-(G5/100))*(B74-C74)+C19</f>
        <v>1560000</v>
      </c>
      <c r="E74" s="1">
        <f>D74-D74*(G5/100)</f>
        <v>936000</v>
      </c>
      <c r="F74" s="1">
        <f>(1+(G6/100))^(-A74)</f>
        <v>0.7971938775510203</v>
      </c>
      <c r="G74" s="32">
        <f t="shared" si="2"/>
        <v>1243622.4489795917</v>
      </c>
    </row>
    <row r="75" spans="1:7" ht="13.5" customHeight="1">
      <c r="A75" s="31">
        <v>3</v>
      </c>
      <c r="B75" s="1">
        <v>1900000</v>
      </c>
      <c r="C75" s="2"/>
      <c r="D75" s="2">
        <f>(1-(G5/100))*(B75-C75)+C20</f>
        <v>1560000</v>
      </c>
      <c r="E75" s="1">
        <f>D75-D75*(G6/100)</f>
        <v>1372800</v>
      </c>
      <c r="F75" s="1">
        <f>(1+(G6/100))^(-A75)</f>
        <v>0.7117802478134109</v>
      </c>
      <c r="G75" s="32">
        <f t="shared" si="2"/>
        <v>1110377.186588921</v>
      </c>
    </row>
    <row r="76" spans="1:7" ht="13.5" customHeight="1">
      <c r="A76" s="31">
        <v>4</v>
      </c>
      <c r="B76" s="1">
        <v>2200000</v>
      </c>
      <c r="C76" s="2"/>
      <c r="D76" s="2">
        <f>(1-(G5/100))*(B76-C76)+C21</f>
        <v>1740000</v>
      </c>
      <c r="E76" s="1">
        <f>D76-D76*(G5/100)</f>
        <v>1044000</v>
      </c>
      <c r="F76" s="1">
        <f>(1+(G6/100))^(-A76)</f>
        <v>0.6355180784048312</v>
      </c>
      <c r="G76" s="32">
        <f t="shared" si="2"/>
        <v>1105801.4564244063</v>
      </c>
    </row>
    <row r="77" spans="1:7" ht="13.5" customHeight="1">
      <c r="A77" s="31">
        <v>5</v>
      </c>
      <c r="B77" s="1">
        <v>2200000</v>
      </c>
      <c r="C77" s="2"/>
      <c r="D77" s="2">
        <f>(1-(G5/100))*(B77-C77)+C22</f>
        <v>1740000</v>
      </c>
      <c r="E77" s="1">
        <f>D77-D77*(G5/100)</f>
        <v>1044000</v>
      </c>
      <c r="F77" s="6">
        <f>(1+(G6/100))^(-A77)</f>
        <v>0.5674268557185992</v>
      </c>
      <c r="G77" s="32">
        <f t="shared" si="2"/>
        <v>987322.7289503625</v>
      </c>
    </row>
    <row r="78" spans="1:7" ht="13.5" customHeight="1">
      <c r="A78" s="31">
        <v>6</v>
      </c>
      <c r="B78" s="1">
        <v>2200000</v>
      </c>
      <c r="C78" s="2"/>
      <c r="D78" s="2">
        <f>(1-(G5/100))*(B78-C78)+C23</f>
        <v>1740000</v>
      </c>
      <c r="E78" s="1">
        <f>D78-D78*(G7/100)</f>
        <v>1531200</v>
      </c>
      <c r="F78" s="8">
        <f>(1+(G6/100))^(-A78)</f>
        <v>0.5066311211773207</v>
      </c>
      <c r="G78" s="32">
        <f t="shared" si="2"/>
        <v>881538.150848538</v>
      </c>
    </row>
    <row r="79" spans="1:7" ht="12.75">
      <c r="A79" s="31">
        <v>7</v>
      </c>
      <c r="B79" s="1">
        <v>2200000</v>
      </c>
      <c r="C79" s="2"/>
      <c r="D79" s="2">
        <f>(1-(G5/100))*(B79-C79)+C24</f>
        <v>1740000</v>
      </c>
      <c r="E79" s="1">
        <f>D79-D79*(G5/100)</f>
        <v>1044000</v>
      </c>
      <c r="F79" s="6">
        <f>(1+(G6/100))^(-A79)</f>
        <v>0.45234921533689343</v>
      </c>
      <c r="G79" s="32">
        <f t="shared" si="2"/>
        <v>787087.6346861946</v>
      </c>
    </row>
    <row r="80" spans="1:7" ht="12.75">
      <c r="A80" s="31">
        <v>8</v>
      </c>
      <c r="B80" s="1">
        <v>2200000</v>
      </c>
      <c r="C80" s="2"/>
      <c r="D80" s="2">
        <f>(1-(G5/100))*(B80-C80)+C25</f>
        <v>1740000</v>
      </c>
      <c r="E80" s="1">
        <f>D80-D80*(G5/100)</f>
        <v>1044000</v>
      </c>
      <c r="F80" s="6">
        <f>(1+(G6/100))^(-A80)</f>
        <v>0.4038832279793691</v>
      </c>
      <c r="G80" s="32">
        <f t="shared" si="2"/>
        <v>702756.8166841022</v>
      </c>
    </row>
    <row r="81" spans="1:7" ht="12.75">
      <c r="A81" s="31">
        <v>9</v>
      </c>
      <c r="B81" s="1">
        <v>1300000</v>
      </c>
      <c r="C81" s="2"/>
      <c r="D81" s="2">
        <f>(1-(G5/100))*(B81-C81)+C26</f>
        <v>1200000</v>
      </c>
      <c r="E81" s="1">
        <f>D81-D81*(G5/100)</f>
        <v>720000</v>
      </c>
      <c r="F81" s="6">
        <f>(1+(G6/100))^(-A81)</f>
        <v>0.36061002498157957</v>
      </c>
      <c r="G81" s="32">
        <f t="shared" si="2"/>
        <v>432732.0299778955</v>
      </c>
    </row>
    <row r="82" spans="1:7" ht="12.75">
      <c r="A82" s="31">
        <v>10</v>
      </c>
      <c r="B82" s="1">
        <v>1300000</v>
      </c>
      <c r="C82" s="2"/>
      <c r="D82" s="2">
        <f>(1-(G5/100))*(B82-C82)+C27</f>
        <v>1200000</v>
      </c>
      <c r="E82" s="1">
        <f>D82-D82*(G5/100)</f>
        <v>720000</v>
      </c>
      <c r="F82" s="6">
        <f>(1+(G6/100))^(-A82)</f>
        <v>0.321973236590696</v>
      </c>
      <c r="G82" s="32">
        <f t="shared" si="2"/>
        <v>386367.8839088352</v>
      </c>
    </row>
    <row r="83" spans="1:7" ht="12.75">
      <c r="A83" s="31">
        <v>11</v>
      </c>
      <c r="B83" s="1">
        <v>1300000</v>
      </c>
      <c r="C83" s="2"/>
      <c r="D83" s="2">
        <f>(1-(G5/100))*(B83-C83)+C28</f>
        <v>1200000</v>
      </c>
      <c r="E83" s="1">
        <f>D83-D83*(G5/100)</f>
        <v>720000</v>
      </c>
      <c r="F83" s="6">
        <f>(1+(G6/100))^(-A83)</f>
        <v>0.28747610409883567</v>
      </c>
      <c r="G83" s="32">
        <f t="shared" si="2"/>
        <v>344971.3249186028</v>
      </c>
    </row>
    <row r="84" spans="1:7" ht="13.5" thickBot="1">
      <c r="A84" s="33">
        <v>12</v>
      </c>
      <c r="B84" s="44">
        <f>1300000+G9+D29</f>
        <v>3810000</v>
      </c>
      <c r="C84" s="47"/>
      <c r="D84" s="47">
        <f>(1-(G5/100))*(B84-C84)+C29</f>
        <v>2706000</v>
      </c>
      <c r="E84" s="48">
        <f>D84-D84*(G5/100)+1250000</f>
        <v>2873600</v>
      </c>
      <c r="F84" s="48">
        <f>(1+(G6/100))^(-A84)</f>
        <v>0.25667509294538904</v>
      </c>
      <c r="G84" s="49">
        <f t="shared" si="2"/>
        <v>694562.8015102227</v>
      </c>
    </row>
    <row r="85" spans="1:7" ht="13.5" thickBot="1">
      <c r="A85" s="7"/>
      <c r="B85" s="7"/>
      <c r="E85" s="7"/>
      <c r="F85" s="52" t="s">
        <v>8</v>
      </c>
      <c r="G85" s="51">
        <f>SUM(G72:G84)</f>
        <v>1819997.6063348153</v>
      </c>
    </row>
    <row r="86" spans="1:7" ht="12.75">
      <c r="A86" s="7"/>
      <c r="B86" s="7"/>
      <c r="E86" s="7"/>
      <c r="F86" s="22"/>
      <c r="G86" s="23"/>
    </row>
    <row r="87" spans="1:7" ht="15.75">
      <c r="A87" s="27" t="s">
        <v>72</v>
      </c>
      <c r="B87" s="27"/>
      <c r="C87" s="27"/>
      <c r="D87" s="16">
        <f>(SUM(G73:G84)/G7)</f>
        <v>839166.4671945679</v>
      </c>
      <c r="E87" s="7"/>
      <c r="F87" s="22"/>
      <c r="G87" s="23"/>
    </row>
    <row r="88" spans="2:6" ht="12.75">
      <c r="B88" s="7"/>
      <c r="C88" s="7"/>
      <c r="D88" s="7"/>
      <c r="E88" s="7"/>
      <c r="F88" s="7"/>
    </row>
    <row r="90" spans="1:4" ht="15.75">
      <c r="A90" s="27" t="s">
        <v>79</v>
      </c>
      <c r="B90" s="27"/>
      <c r="C90" s="27"/>
      <c r="D90" s="27"/>
    </row>
    <row r="91" spans="1:4" ht="15.75">
      <c r="A91" s="27"/>
      <c r="B91" s="27" t="s">
        <v>18</v>
      </c>
      <c r="C91" s="27">
        <f>(1-(1+(G6/100))^(-G7))/(G6/100)</f>
        <v>6.194374225455092</v>
      </c>
      <c r="D91" s="27"/>
    </row>
    <row r="92" spans="1:4" ht="15.75">
      <c r="A92" s="27"/>
      <c r="B92" s="27" t="s">
        <v>8</v>
      </c>
      <c r="C92" s="27">
        <f>((SUM(G73:G77))/G7)*C91</f>
        <v>3014585.6299428116</v>
      </c>
      <c r="D92" s="27"/>
    </row>
    <row r="93" spans="1:4" ht="15.75">
      <c r="A93" s="27"/>
      <c r="B93" s="27"/>
      <c r="C93" s="27"/>
      <c r="D93" s="27"/>
    </row>
    <row r="94" spans="1:4" ht="15.75">
      <c r="A94" s="27" t="s">
        <v>10</v>
      </c>
      <c r="B94" s="27"/>
      <c r="C94" s="27"/>
      <c r="D94" s="27"/>
    </row>
    <row r="95" spans="1:4" ht="15.75">
      <c r="A95" s="27"/>
      <c r="B95" s="27"/>
      <c r="C95" s="27"/>
      <c r="D95" s="27"/>
    </row>
    <row r="96" spans="1:6" ht="15.75">
      <c r="A96" s="27"/>
      <c r="B96" s="27" t="s">
        <v>11</v>
      </c>
      <c r="C96" s="27"/>
      <c r="D96" s="27"/>
      <c r="F96" s="16">
        <f>(G2+G4+G3)/C61</f>
        <v>6.765132533298168</v>
      </c>
    </row>
    <row r="97" spans="1:4" ht="15.75">
      <c r="A97" s="27"/>
      <c r="B97" s="27"/>
      <c r="C97" s="27"/>
      <c r="D97" s="27"/>
    </row>
    <row r="98" spans="1:4" ht="15.75">
      <c r="A98" s="27" t="s">
        <v>12</v>
      </c>
      <c r="B98" s="27"/>
      <c r="C98" s="27"/>
      <c r="D98" s="27"/>
    </row>
    <row r="99" spans="1:4" ht="15.75">
      <c r="A99" s="27"/>
      <c r="B99" s="27"/>
      <c r="C99" s="27"/>
      <c r="D99" s="27"/>
    </row>
    <row r="100" spans="1:6" ht="15.75">
      <c r="A100" s="27"/>
      <c r="B100" s="27" t="s">
        <v>13</v>
      </c>
      <c r="C100" s="27"/>
      <c r="D100" s="27"/>
      <c r="F100" s="15">
        <f>1/F96</f>
        <v>0.1478167641325536</v>
      </c>
    </row>
    <row r="101" spans="1:4" ht="15.75">
      <c r="A101" s="27"/>
      <c r="B101" s="27"/>
      <c r="C101" s="27"/>
      <c r="D101" s="27"/>
    </row>
    <row r="102" spans="1:4" ht="15.75">
      <c r="A102" s="27" t="s">
        <v>14</v>
      </c>
      <c r="B102" s="27"/>
      <c r="C102" s="27"/>
      <c r="D102" s="27"/>
    </row>
    <row r="103" spans="1:4" ht="15.75">
      <c r="A103" s="27"/>
      <c r="B103" s="27"/>
      <c r="C103" s="27"/>
      <c r="D103" s="27"/>
    </row>
    <row r="104" spans="1:6" ht="15.75">
      <c r="A104" s="27"/>
      <c r="B104" s="27" t="s">
        <v>15</v>
      </c>
      <c r="C104" s="27"/>
      <c r="D104" s="27"/>
      <c r="F104" s="16">
        <f>(G2+G4+G3)/(SUM(G73:G84)/G7)</f>
        <v>10.188681667159145</v>
      </c>
    </row>
    <row r="105" spans="1:4" ht="15.75">
      <c r="A105" s="27"/>
      <c r="B105" s="27"/>
      <c r="C105" s="27"/>
      <c r="D105" s="27"/>
    </row>
    <row r="106" spans="1:4" ht="15.75">
      <c r="A106" s="27" t="s">
        <v>16</v>
      </c>
      <c r="B106" s="27"/>
      <c r="C106" s="27"/>
      <c r="D106" s="27"/>
    </row>
    <row r="107" spans="1:4" ht="15.75">
      <c r="A107" s="27"/>
      <c r="B107" s="27"/>
      <c r="C107" s="27"/>
      <c r="D107" s="27"/>
    </row>
    <row r="108" spans="1:6" ht="15.75">
      <c r="A108" s="27"/>
      <c r="B108" s="27" t="s">
        <v>70</v>
      </c>
      <c r="C108" s="27"/>
      <c r="D108" s="27"/>
      <c r="F108" s="3">
        <v>16.52155</v>
      </c>
    </row>
    <row r="109" spans="1:4" ht="15.75">
      <c r="A109" s="27"/>
      <c r="B109" s="27" t="s">
        <v>17</v>
      </c>
      <c r="C109" s="27">
        <v>0</v>
      </c>
      <c r="D109" s="27"/>
    </row>
    <row r="110" spans="1:4" ht="15.75">
      <c r="A110" s="27"/>
      <c r="B110" s="27"/>
      <c r="C110" s="27"/>
      <c r="D110" s="27"/>
    </row>
    <row r="111" spans="1:4" ht="15.75">
      <c r="A111" s="27" t="s">
        <v>19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20</v>
      </c>
      <c r="C113" s="27"/>
      <c r="F113" s="3">
        <f>(A73*G73+A74*G74+A75*G75+A76*G76+A77*G77+A78*G78+A79*G79+A80*G80+A81*G82+A83*G83+A84*G84)/(G73+G74+G75+G76+G77+G78+G79+G80+G82+G83+G84)</f>
        <v>5.042789234638695</v>
      </c>
    </row>
    <row r="114" spans="1:4" ht="15.75">
      <c r="A114" s="27"/>
      <c r="B114" s="27"/>
      <c r="C114" s="27"/>
      <c r="D114" s="27"/>
    </row>
  </sheetData>
  <mergeCells count="4">
    <mergeCell ref="B32:D32"/>
    <mergeCell ref="B38:B39"/>
    <mergeCell ref="C38:C39"/>
    <mergeCell ref="D38:D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6">
      <selection activeCell="H67" sqref="H67"/>
    </sheetView>
  </sheetViews>
  <sheetFormatPr defaultColWidth="9.00390625" defaultRowHeight="12.75"/>
  <cols>
    <col min="1" max="1" width="14.875" style="0" customWidth="1"/>
    <col min="2" max="2" width="19.75390625" style="0" customWidth="1"/>
    <col min="3" max="3" width="12.00390625" style="0" customWidth="1"/>
    <col min="4" max="4" width="11.125" style="0" customWidth="1"/>
    <col min="5" max="5" width="12.00390625" style="0" customWidth="1"/>
    <col min="6" max="6" width="10.625" style="0" customWidth="1"/>
    <col min="7" max="7" width="10.875" style="0" customWidth="1"/>
  </cols>
  <sheetData>
    <row r="1" spans="1:6" ht="19.5">
      <c r="A1" s="25" t="s">
        <v>21</v>
      </c>
      <c r="B1" s="25"/>
      <c r="C1" s="25"/>
      <c r="D1" s="25"/>
      <c r="E1" s="25"/>
      <c r="F1" s="25"/>
    </row>
    <row r="3" spans="1:7" ht="13.5" thickBot="1">
      <c r="A3" s="7"/>
      <c r="B3" s="7"/>
      <c r="C3" s="7"/>
      <c r="D3" s="7"/>
      <c r="E3" s="7"/>
      <c r="F3" s="7"/>
      <c r="G3" s="7"/>
    </row>
    <row r="4" spans="1:7" ht="12.75">
      <c r="A4" s="53" t="s">
        <v>22</v>
      </c>
      <c r="B4" s="54">
        <v>1</v>
      </c>
      <c r="C4" s="54">
        <v>2</v>
      </c>
      <c r="D4" s="55">
        <v>3</v>
      </c>
      <c r="F4" s="7"/>
      <c r="G4" s="7"/>
    </row>
    <row r="5" spans="1:7" ht="12.75">
      <c r="A5" s="56" t="s">
        <v>71</v>
      </c>
      <c r="B5" s="19"/>
      <c r="C5" s="18"/>
      <c r="D5" s="57"/>
      <c r="E5" s="7"/>
      <c r="F5" s="7"/>
      <c r="G5" s="7"/>
    </row>
    <row r="6" spans="1:7" ht="12.75">
      <c r="A6" s="58" t="s">
        <v>46</v>
      </c>
      <c r="B6" s="21">
        <f>Вариант1!G4+Вариант1!G5+Вариант1!G6</f>
        <v>8800000</v>
      </c>
      <c r="C6" s="20">
        <f>Вариаинт2!G2+Вариаинт2!G3+Вариаинт2!G4</f>
        <v>8800000</v>
      </c>
      <c r="D6" s="59">
        <f>Вариант3!G2+Вариант3!G3+Вариант3!G4</f>
        <v>8550000</v>
      </c>
      <c r="E6" s="7"/>
      <c r="F6" s="7"/>
      <c r="G6" s="7"/>
    </row>
    <row r="7" spans="1:7" ht="12.75">
      <c r="A7" s="58">
        <v>1</v>
      </c>
      <c r="B7" s="4">
        <f>Вариант1!D78</f>
        <v>1636000</v>
      </c>
      <c r="C7" s="4">
        <f>Вариаинт2!D68</f>
        <v>1750000</v>
      </c>
      <c r="D7" s="59">
        <f>Вариант3!D73</f>
        <v>1560000</v>
      </c>
      <c r="E7" s="7"/>
      <c r="F7" s="7"/>
      <c r="G7" s="7"/>
    </row>
    <row r="8" spans="1:7" ht="12.75">
      <c r="A8" s="31">
        <v>2</v>
      </c>
      <c r="B8" s="1">
        <f>Вариант1!D79</f>
        <v>1636000</v>
      </c>
      <c r="C8" s="1">
        <f>Вариаинт2!D69</f>
        <v>1750000</v>
      </c>
      <c r="D8" s="60">
        <f>Вариант3!D74</f>
        <v>1560000</v>
      </c>
      <c r="E8" s="7"/>
      <c r="F8" s="7"/>
      <c r="G8" s="7"/>
    </row>
    <row r="9" spans="1:7" ht="12.75">
      <c r="A9" s="31">
        <v>3</v>
      </c>
      <c r="B9" s="1">
        <f>Вариант1!D80</f>
        <v>1636000</v>
      </c>
      <c r="C9" s="1">
        <f>Вариаинт2!D70</f>
        <v>1750000</v>
      </c>
      <c r="D9" s="60">
        <f>Вариант3!D75</f>
        <v>1560000</v>
      </c>
      <c r="E9" s="7"/>
      <c r="F9" s="7"/>
      <c r="G9" s="7"/>
    </row>
    <row r="10" spans="1:7" ht="12.75">
      <c r="A10" s="31">
        <v>4</v>
      </c>
      <c r="B10" s="1">
        <f>Вариант1!D81</f>
        <v>1828000</v>
      </c>
      <c r="C10" s="1">
        <f>Вариаинт2!D71</f>
        <v>1960000</v>
      </c>
      <c r="D10" s="60">
        <f>Вариант3!D76</f>
        <v>1740000</v>
      </c>
      <c r="E10" s="7"/>
      <c r="F10" s="7"/>
      <c r="G10" s="7"/>
    </row>
    <row r="11" spans="1:7" ht="12.75">
      <c r="A11" s="31">
        <v>5</v>
      </c>
      <c r="B11" s="1">
        <f>Вариант1!D82</f>
        <v>1828000</v>
      </c>
      <c r="C11" s="1">
        <f>Вариаинт2!D72</f>
        <v>1960000</v>
      </c>
      <c r="D11" s="60">
        <f>Вариант3!D77</f>
        <v>1740000</v>
      </c>
      <c r="E11" s="7"/>
      <c r="F11" s="7"/>
      <c r="G11" s="7"/>
    </row>
    <row r="12" spans="1:7" ht="12.75">
      <c r="A12" s="31">
        <v>6</v>
      </c>
      <c r="B12" s="1">
        <f>Вариант1!D83</f>
        <v>1828000</v>
      </c>
      <c r="C12" s="1">
        <f>Вариаинт2!D73</f>
        <v>1960000</v>
      </c>
      <c r="D12" s="60">
        <f>Вариант3!D78</f>
        <v>1740000</v>
      </c>
      <c r="E12" s="7"/>
      <c r="F12" s="7"/>
      <c r="G12" s="7"/>
    </row>
    <row r="13" spans="1:7" ht="12.75">
      <c r="A13" s="31">
        <v>7</v>
      </c>
      <c r="B13" s="1">
        <f>Вариант1!D84</f>
        <v>1828000</v>
      </c>
      <c r="C13" s="1">
        <f>Вариаинт2!D74</f>
        <v>1960000</v>
      </c>
      <c r="D13" s="60">
        <f>Вариант3!D79</f>
        <v>1740000</v>
      </c>
      <c r="E13" s="7"/>
      <c r="F13" s="7"/>
      <c r="G13" s="7"/>
    </row>
    <row r="14" spans="1:7" ht="12.75">
      <c r="A14" s="31">
        <v>8</v>
      </c>
      <c r="B14" s="1">
        <f>Вариант1!D85</f>
        <v>1828000</v>
      </c>
      <c r="C14" s="1">
        <f>Вариаинт2!D75</f>
        <v>1960000</v>
      </c>
      <c r="D14" s="60">
        <f>Вариант3!D80</f>
        <v>1740000</v>
      </c>
      <c r="E14" s="7"/>
      <c r="F14" s="7"/>
      <c r="G14" s="7"/>
    </row>
    <row r="15" spans="1:7" ht="12.75">
      <c r="A15" s="31">
        <v>9</v>
      </c>
      <c r="B15" s="1">
        <f>Вариант1!D86</f>
        <v>1252000</v>
      </c>
      <c r="C15" s="1">
        <f>Вариаинт2!D76</f>
        <v>1330000</v>
      </c>
      <c r="D15" s="60">
        <f>Вариант3!D81</f>
        <v>1200000</v>
      </c>
      <c r="E15" s="7"/>
      <c r="F15" s="7"/>
      <c r="G15" s="7"/>
    </row>
    <row r="16" spans="1:7" ht="12.75">
      <c r="A16" s="31">
        <v>10</v>
      </c>
      <c r="B16" s="1">
        <f>Вариант1!D87</f>
        <v>1252000</v>
      </c>
      <c r="C16" s="1">
        <f>Вариаинт2!D77</f>
        <v>1330000</v>
      </c>
      <c r="D16" s="60">
        <f>Вариант3!D82</f>
        <v>1200000</v>
      </c>
      <c r="E16" s="7"/>
      <c r="F16" s="7"/>
      <c r="G16" s="7"/>
    </row>
    <row r="17" spans="1:7" ht="12.75">
      <c r="A17" s="31">
        <v>11</v>
      </c>
      <c r="B17" s="1">
        <f>Вариант1!D88</f>
        <v>1252000</v>
      </c>
      <c r="C17" s="1">
        <f>Вариаинт2!D78</f>
        <v>1330000</v>
      </c>
      <c r="D17" s="60">
        <f>Вариант3!D83</f>
        <v>1200000</v>
      </c>
      <c r="E17" s="7"/>
      <c r="F17" s="7"/>
      <c r="G17" s="7"/>
    </row>
    <row r="18" spans="1:7" ht="13.5" thickBot="1">
      <c r="A18" s="33">
        <v>12</v>
      </c>
      <c r="B18" s="48">
        <f>Вариант1!D89</f>
        <v>2858400</v>
      </c>
      <c r="C18" s="48">
        <f>Вариаинт2!D79</f>
        <v>3087000</v>
      </c>
      <c r="D18" s="34">
        <f>Вариант3!D84</f>
        <v>2706000</v>
      </c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2" spans="1:2" ht="13.5">
      <c r="A22" s="28" t="s">
        <v>23</v>
      </c>
      <c r="B22" s="28"/>
    </row>
    <row r="23" ht="13.5" thickBot="1"/>
    <row r="24" spans="1:4" ht="12.75">
      <c r="A24" s="46" t="s">
        <v>22</v>
      </c>
      <c r="B24" s="61" t="s">
        <v>47</v>
      </c>
      <c r="C24" s="61" t="s">
        <v>24</v>
      </c>
      <c r="D24" s="62" t="s">
        <v>26</v>
      </c>
    </row>
    <row r="25" spans="1:4" ht="12.75">
      <c r="A25" s="31">
        <v>1</v>
      </c>
      <c r="B25" s="1">
        <v>12</v>
      </c>
      <c r="C25" s="9">
        <f>Вариант1!G90</f>
        <v>2127888.301777727</v>
      </c>
      <c r="D25" s="60">
        <v>1</v>
      </c>
    </row>
    <row r="26" spans="1:4" ht="12.75">
      <c r="A26" s="31">
        <v>2</v>
      </c>
      <c r="B26" s="1">
        <v>14</v>
      </c>
      <c r="C26" s="9">
        <f>Вариаинт2!G80</f>
        <v>1827811.3973539174</v>
      </c>
      <c r="D26" s="60">
        <v>2</v>
      </c>
    </row>
    <row r="27" spans="1:4" ht="13.5" thickBot="1">
      <c r="A27" s="33">
        <v>3</v>
      </c>
      <c r="B27" s="48">
        <v>12</v>
      </c>
      <c r="C27" s="63">
        <f>Вариант3!G85</f>
        <v>1819997.6063348153</v>
      </c>
      <c r="D27" s="34">
        <v>3</v>
      </c>
    </row>
    <row r="29" spans="1:2" ht="13.5">
      <c r="A29" s="28" t="s">
        <v>25</v>
      </c>
      <c r="B29" s="28"/>
    </row>
    <row r="30" ht="13.5" thickBot="1"/>
    <row r="31" spans="1:4" ht="12.75">
      <c r="A31" s="46" t="s">
        <v>22</v>
      </c>
      <c r="B31" s="61" t="s">
        <v>27</v>
      </c>
      <c r="C31" s="61" t="s">
        <v>47</v>
      </c>
      <c r="D31" s="62" t="s">
        <v>26</v>
      </c>
    </row>
    <row r="32" spans="1:4" ht="12.75">
      <c r="A32" s="31">
        <v>1</v>
      </c>
      <c r="B32" s="1">
        <f>Вариант1!F113</f>
        <v>17.1408</v>
      </c>
      <c r="C32" s="1">
        <v>12</v>
      </c>
      <c r="D32" s="60">
        <v>2</v>
      </c>
    </row>
    <row r="33" spans="1:4" ht="12.75">
      <c r="A33" s="31">
        <v>2</v>
      </c>
      <c r="B33" s="1">
        <f>Вариаинт2!F102</f>
        <v>18.67105</v>
      </c>
      <c r="C33" s="1">
        <v>14</v>
      </c>
      <c r="D33" s="60">
        <v>1</v>
      </c>
    </row>
    <row r="34" spans="1:4" ht="13.5" thickBot="1">
      <c r="A34" s="33">
        <v>3</v>
      </c>
      <c r="B34" s="48">
        <f>Вариант3!F108</f>
        <v>16.52155</v>
      </c>
      <c r="C34" s="48">
        <v>12</v>
      </c>
      <c r="D34" s="34">
        <v>3</v>
      </c>
    </row>
    <row r="36" spans="1:3" ht="13.5">
      <c r="A36" s="28" t="s">
        <v>28</v>
      </c>
      <c r="B36" s="28"/>
      <c r="C36" s="28"/>
    </row>
    <row r="37" ht="13.5" thickBot="1"/>
    <row r="38" spans="1:6" ht="12.75">
      <c r="A38" s="46" t="s">
        <v>22</v>
      </c>
      <c r="B38" s="61" t="s">
        <v>29</v>
      </c>
      <c r="C38" s="61" t="s">
        <v>30</v>
      </c>
      <c r="D38" s="79" t="s">
        <v>31</v>
      </c>
      <c r="E38" s="79"/>
      <c r="F38" s="62" t="s">
        <v>26</v>
      </c>
    </row>
    <row r="39" spans="1:6" ht="12.75">
      <c r="A39" s="31">
        <v>1</v>
      </c>
      <c r="B39" s="1">
        <f>B6</f>
        <v>8800000</v>
      </c>
      <c r="C39" s="9">
        <f>Вариант1!C69</f>
        <v>1340866.6666666667</v>
      </c>
      <c r="D39" s="78">
        <f>C39/B39*100</f>
        <v>15.237121212121213</v>
      </c>
      <c r="E39" s="78"/>
      <c r="F39" s="60">
        <v>2</v>
      </c>
    </row>
    <row r="40" spans="1:6" ht="12.75">
      <c r="A40" s="31">
        <v>2</v>
      </c>
      <c r="B40" s="1">
        <f>C6</f>
        <v>8800000</v>
      </c>
      <c r="C40" s="9">
        <f>Вариаинт2!C60</f>
        <v>1456416.6666666667</v>
      </c>
      <c r="D40" s="78">
        <f>C40/B40*100</f>
        <v>16.550189393939394</v>
      </c>
      <c r="E40" s="78"/>
      <c r="F40" s="60">
        <v>1</v>
      </c>
    </row>
    <row r="41" spans="1:6" ht="13.5" thickBot="1">
      <c r="A41" s="33">
        <v>3</v>
      </c>
      <c r="B41" s="48">
        <f>D6</f>
        <v>8550000</v>
      </c>
      <c r="C41" s="63">
        <f>Вариант3!C61</f>
        <v>1263833.3333333333</v>
      </c>
      <c r="D41" s="85">
        <f>C41/B41*100</f>
        <v>14.78167641325536</v>
      </c>
      <c r="E41" s="85"/>
      <c r="F41" s="34">
        <v>3</v>
      </c>
    </row>
    <row r="43" spans="1:2" ht="13.5">
      <c r="A43" s="28" t="s">
        <v>32</v>
      </c>
      <c r="B43" s="28"/>
    </row>
    <row r="44" ht="13.5" thickBot="1"/>
    <row r="45" spans="1:3" ht="12.75">
      <c r="A45" s="46" t="s">
        <v>22</v>
      </c>
      <c r="B45" s="61" t="s">
        <v>48</v>
      </c>
      <c r="C45" s="62" t="s">
        <v>26</v>
      </c>
    </row>
    <row r="46" spans="1:3" ht="12.75">
      <c r="A46" s="31">
        <v>1</v>
      </c>
      <c r="B46" s="9">
        <f>Вариант1!F101</f>
        <v>6.562919504797891</v>
      </c>
      <c r="C46" s="60">
        <v>2</v>
      </c>
    </row>
    <row r="47" spans="1:3" ht="12.75">
      <c r="A47" s="31">
        <v>2</v>
      </c>
      <c r="B47" s="9">
        <f>Вариаинт2!F90</f>
        <v>5.698918578703439</v>
      </c>
      <c r="C47" s="60">
        <v>1</v>
      </c>
    </row>
    <row r="48" spans="1:3" ht="13.5" thickBot="1">
      <c r="A48" s="33">
        <v>3</v>
      </c>
      <c r="B48" s="63">
        <f>Вариант3!F96</f>
        <v>6.765132533298168</v>
      </c>
      <c r="C48" s="34">
        <v>3</v>
      </c>
    </row>
    <row r="50" spans="1:2" ht="13.5">
      <c r="A50" s="28" t="s">
        <v>34</v>
      </c>
      <c r="B50" s="28"/>
    </row>
    <row r="51" ht="13.5" thickBot="1"/>
    <row r="52" spans="1:6" ht="12.75">
      <c r="A52" s="46" t="s">
        <v>22</v>
      </c>
      <c r="B52" s="61" t="s">
        <v>29</v>
      </c>
      <c r="C52" s="61" t="s">
        <v>35</v>
      </c>
      <c r="D52" s="79" t="s">
        <v>36</v>
      </c>
      <c r="E52" s="79"/>
      <c r="F52" s="62" t="s">
        <v>26</v>
      </c>
    </row>
    <row r="53" spans="1:6" ht="12.75">
      <c r="A53" s="31">
        <v>1</v>
      </c>
      <c r="B53" s="1">
        <f>B6</f>
        <v>8800000</v>
      </c>
      <c r="C53" s="9">
        <f>Вариант1!F92</f>
        <v>880657.3584814775</v>
      </c>
      <c r="D53" s="86">
        <f>B53/C53</f>
        <v>9.99253559315497</v>
      </c>
      <c r="E53" s="87"/>
      <c r="F53" s="60">
        <v>1</v>
      </c>
    </row>
    <row r="54" spans="1:6" ht="12.75">
      <c r="A54" s="31">
        <v>2</v>
      </c>
      <c r="B54" s="1">
        <f>C6</f>
        <v>8800000</v>
      </c>
      <c r="C54" s="9">
        <f>Вариаинт2!F82</f>
        <v>860650.9497794932</v>
      </c>
      <c r="D54" s="86">
        <f>B54/C54</f>
        <v>10.224818786587806</v>
      </c>
      <c r="E54" s="87"/>
      <c r="F54" s="60">
        <v>3</v>
      </c>
    </row>
    <row r="55" spans="1:6" ht="13.5" thickBot="1">
      <c r="A55" s="33">
        <v>3</v>
      </c>
      <c r="B55" s="48">
        <f>D6</f>
        <v>8550000</v>
      </c>
      <c r="C55" s="63">
        <f>Вариант3!D87</f>
        <v>839166.4671945679</v>
      </c>
      <c r="D55" s="83">
        <f>B55/C55</f>
        <v>10.188681667159145</v>
      </c>
      <c r="E55" s="84"/>
      <c r="F55" s="34">
        <v>2</v>
      </c>
    </row>
    <row r="57" spans="1:2" ht="13.5">
      <c r="A57" s="28" t="s">
        <v>37</v>
      </c>
      <c r="B57" s="28"/>
    </row>
    <row r="58" ht="13.5" thickBot="1"/>
    <row r="59" spans="1:3" ht="12.75">
      <c r="A59" s="46" t="s">
        <v>38</v>
      </c>
      <c r="B59" s="61" t="s">
        <v>39</v>
      </c>
      <c r="C59" s="62" t="s">
        <v>26</v>
      </c>
    </row>
    <row r="60" spans="1:3" ht="12.75">
      <c r="A60" s="31">
        <v>1</v>
      </c>
      <c r="B60" s="9">
        <f>Вариант1!F118</f>
        <v>5.045112113820654</v>
      </c>
      <c r="C60" s="60">
        <v>3</v>
      </c>
    </row>
    <row r="61" spans="1:3" ht="12.75">
      <c r="A61" s="31">
        <v>2</v>
      </c>
      <c r="B61" s="9">
        <f>Вариаинт2!F107</f>
        <v>4.861502811210097</v>
      </c>
      <c r="C61" s="60">
        <v>1</v>
      </c>
    </row>
    <row r="62" spans="1:3" ht="13.5" thickBot="1">
      <c r="A62" s="33">
        <v>3</v>
      </c>
      <c r="B62" s="63">
        <f>Вариант3!F113</f>
        <v>5.042789234638695</v>
      </c>
      <c r="C62" s="34">
        <v>2</v>
      </c>
    </row>
    <row r="67" spans="1:6" ht="19.5">
      <c r="A67" s="25"/>
      <c r="B67" s="25" t="s">
        <v>41</v>
      </c>
      <c r="C67" s="25"/>
      <c r="D67" s="25"/>
      <c r="E67" s="25"/>
      <c r="F67" s="25"/>
    </row>
    <row r="68" ht="13.5" thickBot="1"/>
    <row r="69" spans="2:7" ht="12.75">
      <c r="B69" s="80" t="s">
        <v>40</v>
      </c>
      <c r="C69" s="79" t="s">
        <v>42</v>
      </c>
      <c r="D69" s="79"/>
      <c r="E69" s="82"/>
      <c r="G69" s="7"/>
    </row>
    <row r="70" spans="2:7" ht="12.75">
      <c r="B70" s="81"/>
      <c r="C70" s="1">
        <v>1</v>
      </c>
      <c r="D70" s="1">
        <v>2</v>
      </c>
      <c r="E70" s="60">
        <v>3</v>
      </c>
      <c r="G70" s="7"/>
    </row>
    <row r="71" spans="2:7" ht="12.75">
      <c r="B71" s="31" t="s">
        <v>24</v>
      </c>
      <c r="C71" s="1">
        <f>D25</f>
        <v>1</v>
      </c>
      <c r="D71" s="1">
        <f>D26</f>
        <v>2</v>
      </c>
      <c r="E71" s="60">
        <f>D27</f>
        <v>3</v>
      </c>
      <c r="G71" s="7"/>
    </row>
    <row r="72" spans="2:7" ht="12.75">
      <c r="B72" s="31" t="s">
        <v>27</v>
      </c>
      <c r="C72" s="1">
        <f>D32</f>
        <v>2</v>
      </c>
      <c r="D72" s="1">
        <f>D33</f>
        <v>1</v>
      </c>
      <c r="E72" s="60">
        <v>3</v>
      </c>
      <c r="G72" s="13"/>
    </row>
    <row r="73" spans="2:5" ht="12.75">
      <c r="B73" s="31" t="s">
        <v>43</v>
      </c>
      <c r="C73" s="1">
        <v>2</v>
      </c>
      <c r="D73" s="1">
        <v>1</v>
      </c>
      <c r="E73" s="60">
        <v>3</v>
      </c>
    </row>
    <row r="74" spans="2:5" ht="12.75">
      <c r="B74" s="31" t="s">
        <v>33</v>
      </c>
      <c r="C74" s="1">
        <v>2</v>
      </c>
      <c r="D74" s="1">
        <v>1</v>
      </c>
      <c r="E74" s="60">
        <v>3</v>
      </c>
    </row>
    <row r="75" spans="2:5" ht="12.75">
      <c r="B75" s="31" t="s">
        <v>44</v>
      </c>
      <c r="C75" s="1">
        <v>1</v>
      </c>
      <c r="D75" s="1">
        <v>3</v>
      </c>
      <c r="E75" s="60">
        <v>2</v>
      </c>
    </row>
    <row r="76" spans="2:5" ht="13.5" thickBot="1">
      <c r="B76" s="33" t="s">
        <v>39</v>
      </c>
      <c r="C76" s="48">
        <f>C60</f>
        <v>3</v>
      </c>
      <c r="D76" s="48">
        <f>C61</f>
        <v>1</v>
      </c>
      <c r="E76" s="34">
        <f>C62</f>
        <v>2</v>
      </c>
    </row>
    <row r="78" spans="1:6" ht="14.25">
      <c r="A78" s="24" t="s">
        <v>73</v>
      </c>
      <c r="B78" s="24"/>
      <c r="C78" s="24"/>
      <c r="D78" s="24"/>
      <c r="E78" s="24"/>
      <c r="F78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</sheetData>
  <mergeCells count="10">
    <mergeCell ref="D39:E39"/>
    <mergeCell ref="D38:E38"/>
    <mergeCell ref="D40:E40"/>
    <mergeCell ref="B69:B70"/>
    <mergeCell ref="C69:E69"/>
    <mergeCell ref="D55:E55"/>
    <mergeCell ref="D41:E41"/>
    <mergeCell ref="D52:E52"/>
    <mergeCell ref="D53:E53"/>
    <mergeCell ref="D54:E5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workbookViewId="0" topLeftCell="A98">
      <selection activeCell="K106" sqref="K106:N106"/>
    </sheetView>
  </sheetViews>
  <sheetFormatPr defaultColWidth="9.00390625" defaultRowHeight="12.75"/>
  <cols>
    <col min="1" max="1" width="0.875" style="0" customWidth="1"/>
    <col min="2" max="2" width="10.00390625" style="0" customWidth="1"/>
    <col min="3" max="3" width="11.25390625" style="0" customWidth="1"/>
    <col min="4" max="4" width="11.00390625" style="0" customWidth="1"/>
    <col min="5" max="5" width="11.375" style="0" customWidth="1"/>
    <col min="6" max="6" width="11.875" style="0" customWidth="1"/>
    <col min="7" max="7" width="11.00390625" style="0" customWidth="1"/>
  </cols>
  <sheetData>
    <row r="1" spans="3:7" ht="19.5">
      <c r="C1" s="25" t="s">
        <v>74</v>
      </c>
      <c r="D1" s="25"/>
      <c r="E1" s="25"/>
      <c r="F1" s="25"/>
      <c r="G1" s="25"/>
    </row>
    <row r="2" ht="13.5" thickBot="1"/>
    <row r="3" spans="2:3" ht="12.75">
      <c r="B3" s="29" t="s">
        <v>49</v>
      </c>
      <c r="C3" s="30" t="s">
        <v>24</v>
      </c>
    </row>
    <row r="4" spans="2:3" ht="12.75">
      <c r="B4" s="31">
        <v>12</v>
      </c>
      <c r="C4" s="32">
        <f>Вариант1!G90</f>
        <v>2127888.301777727</v>
      </c>
    </row>
    <row r="5" spans="2:3" ht="13.5" thickBot="1">
      <c r="B5" s="33">
        <f>Вариант1!F113</f>
        <v>17.1408</v>
      </c>
      <c r="C5" s="34">
        <v>0</v>
      </c>
    </row>
    <row r="6" spans="2:3" ht="12.75">
      <c r="B6" s="7"/>
      <c r="C6" s="7"/>
    </row>
    <row r="19" ht="13.5" thickBot="1"/>
    <row r="20" spans="2:3" ht="12.75">
      <c r="B20" s="29" t="s">
        <v>49</v>
      </c>
      <c r="C20" s="30" t="s">
        <v>24</v>
      </c>
    </row>
    <row r="21" spans="2:3" ht="12.75">
      <c r="B21" s="31">
        <v>14</v>
      </c>
      <c r="C21" s="32">
        <f>Вариаинт2!G80</f>
        <v>1827811.3973539174</v>
      </c>
    </row>
    <row r="22" spans="2:3" ht="13.5" thickBot="1">
      <c r="B22" s="33">
        <f>Вариаинт2!F102</f>
        <v>18.67105</v>
      </c>
      <c r="C22" s="34">
        <v>0</v>
      </c>
    </row>
    <row r="35" ht="13.5" thickBot="1"/>
    <row r="36" spans="2:3" ht="12.75">
      <c r="B36" s="29" t="s">
        <v>49</v>
      </c>
      <c r="C36" s="30" t="s">
        <v>24</v>
      </c>
    </row>
    <row r="37" spans="2:3" ht="12.75">
      <c r="B37" s="31">
        <v>12</v>
      </c>
      <c r="C37" s="32">
        <f>Вариант3!G85</f>
        <v>1819997.6063348153</v>
      </c>
    </row>
    <row r="38" spans="2:3" ht="13.5" thickBot="1">
      <c r="B38" s="33">
        <f>Вариант3!F108</f>
        <v>16.52155</v>
      </c>
      <c r="C38" s="34"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1+1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флинт</dc:creator>
  <cp:keywords/>
  <dc:description/>
  <cp:lastModifiedBy>Дмитрий</cp:lastModifiedBy>
  <cp:lastPrinted>1999-05-16T21:36:23Z</cp:lastPrinted>
  <dcterms:created xsi:type="dcterms:W3CDTF">1999-05-04T08:24:14Z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