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52" windowHeight="4500" activeTab="6"/>
  </bookViews>
  <sheets>
    <sheet name="Лист3" sheetId="1" r:id="rId1"/>
    <sheet name="Лист2" sheetId="2" r:id="rId2"/>
    <sheet name="Лист1" sheetId="3" r:id="rId3"/>
    <sheet name="Форма1" sheetId="4" r:id="rId4"/>
    <sheet name="Форма2" sheetId="5" r:id="rId5"/>
    <sheet name="Форма4" sheetId="6" r:id="rId6"/>
    <sheet name="Форма5" sheetId="7" r:id="rId7"/>
    <sheet name="ВертГор" sheetId="8" r:id="rId8"/>
    <sheet name="Expr" sheetId="9" r:id="rId9"/>
    <sheet name="СисПок" sheetId="10" r:id="rId10"/>
  </sheets>
  <definedNames/>
  <calcPr fullCalcOnLoad="1"/>
</workbook>
</file>

<file path=xl/sharedStrings.xml><?xml version="1.0" encoding="utf-8"?>
<sst xmlns="http://schemas.openxmlformats.org/spreadsheetml/2006/main" count="830" uniqueCount="444">
  <si>
    <t>Актив</t>
  </si>
  <si>
    <t>Код стр.</t>
  </si>
  <si>
    <t>Нач. года</t>
  </si>
  <si>
    <t>Кон. года</t>
  </si>
  <si>
    <t>I.Внеоборотные активы</t>
  </si>
  <si>
    <t>Нематериальные активы</t>
  </si>
  <si>
    <t xml:space="preserve">В том числе : </t>
  </si>
  <si>
    <t xml:space="preserve"> организационные расходы</t>
  </si>
  <si>
    <t xml:space="preserve"> патенты, лицензии и др. </t>
  </si>
  <si>
    <t>Основные средства</t>
  </si>
  <si>
    <t xml:space="preserve"> земельные участки</t>
  </si>
  <si>
    <t xml:space="preserve"> здания, машины, оборудование</t>
  </si>
  <si>
    <t>Незавершенное строительство</t>
  </si>
  <si>
    <t>Долгосрочные финансовые вложения</t>
  </si>
  <si>
    <t xml:space="preserve"> инвестиции в дочерние общества</t>
  </si>
  <si>
    <t xml:space="preserve"> инвестиции в зависимые общества</t>
  </si>
  <si>
    <t xml:space="preserve"> инвестиции в другие организации</t>
  </si>
  <si>
    <t xml:space="preserve"> займы, предоставленные на срок не более 12 мес.</t>
  </si>
  <si>
    <t xml:space="preserve"> прочие долгосрочные фин-е вложения</t>
  </si>
  <si>
    <t>Прочие внеоборотные активы</t>
  </si>
  <si>
    <t>Итого по разделу I</t>
  </si>
  <si>
    <t>II. Оборотные активы</t>
  </si>
  <si>
    <t>Запасы</t>
  </si>
  <si>
    <t xml:space="preserve"> сырье, материалы и др.</t>
  </si>
  <si>
    <t xml:space="preserve"> животные на выращивании и откормле</t>
  </si>
  <si>
    <t xml:space="preserve"> малоценные и быстроизнашив. предметы</t>
  </si>
  <si>
    <t xml:space="preserve"> затраты в незавершенном производстве</t>
  </si>
  <si>
    <t xml:space="preserve"> готовая продукция и товары для перепродажи</t>
  </si>
  <si>
    <t xml:space="preserve"> товары отгруженные</t>
  </si>
  <si>
    <t xml:space="preserve"> расходы будущих периодов</t>
  </si>
  <si>
    <t xml:space="preserve"> прочие запасы и затраты</t>
  </si>
  <si>
    <t>Налог на добавл. стоим. по приобрет. ценностям</t>
  </si>
  <si>
    <t>Дебиторская задолженн.(более, чем через 12 мес.)</t>
  </si>
  <si>
    <t xml:space="preserve"> покупатели и заказчики</t>
  </si>
  <si>
    <t xml:space="preserve"> векселя к получению</t>
  </si>
  <si>
    <t xml:space="preserve"> задолженность дочерних и зависимых обществ </t>
  </si>
  <si>
    <t xml:space="preserve"> авансы выданные</t>
  </si>
  <si>
    <t xml:space="preserve"> прочие дебиторы</t>
  </si>
  <si>
    <t>Дебиторская задолженность (в течение 12 месяц.)</t>
  </si>
  <si>
    <t xml:space="preserve"> задолженн. участников по взносам в уставн. кап. </t>
  </si>
  <si>
    <t xml:space="preserve">Краткосрочные финансовые вложения </t>
  </si>
  <si>
    <t xml:space="preserve"> инвестиции и зависимые общества</t>
  </si>
  <si>
    <t xml:space="preserve"> собственные акции, выкупленные у акционеров</t>
  </si>
  <si>
    <t xml:space="preserve"> прочие краткосрочные финансовые вложения</t>
  </si>
  <si>
    <t>Денежные средства</t>
  </si>
  <si>
    <t xml:space="preserve"> касса</t>
  </si>
  <si>
    <t xml:space="preserve"> расчетные счета</t>
  </si>
  <si>
    <t xml:space="preserve"> валютные счета</t>
  </si>
  <si>
    <t xml:space="preserve"> прочие денежные средства</t>
  </si>
  <si>
    <t>Прочие оборотные активы</t>
  </si>
  <si>
    <t>Итого по разделу II</t>
  </si>
  <si>
    <t>III. Убытки</t>
  </si>
  <si>
    <t>Непокрытые убытки прошлых лет</t>
  </si>
  <si>
    <t>Убыток отчетного года</t>
  </si>
  <si>
    <t>Итого по разделу III</t>
  </si>
  <si>
    <t>Баланс</t>
  </si>
  <si>
    <t>Пассив</t>
  </si>
  <si>
    <t>IV. Капитал и резервы</t>
  </si>
  <si>
    <t>Уставной капитал</t>
  </si>
  <si>
    <t>Добавочный капитал</t>
  </si>
  <si>
    <t>Резервный капитал</t>
  </si>
  <si>
    <t>В том числе:</t>
  </si>
  <si>
    <t xml:space="preserve"> резервные фонды, образов.в соответ.с законодат.</t>
  </si>
  <si>
    <t xml:space="preserve"> резервы, образов.в соответвет.с учредит. докум.</t>
  </si>
  <si>
    <t>Фонды накопления</t>
  </si>
  <si>
    <t>Фонд социальной сферы</t>
  </si>
  <si>
    <t>Целевые финансирование и поступления</t>
  </si>
  <si>
    <t>Нераспределенная прибыль прошлых лет</t>
  </si>
  <si>
    <t>Нераспределенная прибыль отчетного года</t>
  </si>
  <si>
    <t>Итого по разделу IV</t>
  </si>
  <si>
    <t>V. Долгосрочные пассивы</t>
  </si>
  <si>
    <t>Заемные средства</t>
  </si>
  <si>
    <t xml:space="preserve"> кредиты банков,подлеж.погашен. более,чем через 12 мес.</t>
  </si>
  <si>
    <t xml:space="preserve"> прочие займы,подлеж. погашен. более,чем через 12 мес.</t>
  </si>
  <si>
    <t>Прочие долгосрочные пассивы</t>
  </si>
  <si>
    <t>Итого по разделу V</t>
  </si>
  <si>
    <t>VI. Краткосрочные пассивы</t>
  </si>
  <si>
    <t xml:space="preserve"> кредиты банков, подлежащие погашению в теч. 12 мес.</t>
  </si>
  <si>
    <t xml:space="preserve"> прочие займы, подлежащие погашению через 12 месяц.</t>
  </si>
  <si>
    <t>Кредиторская задолженность</t>
  </si>
  <si>
    <t xml:space="preserve"> поставщики и подрядчики</t>
  </si>
  <si>
    <t xml:space="preserve"> векселя к уплате</t>
  </si>
  <si>
    <t xml:space="preserve"> по оплате труда</t>
  </si>
  <si>
    <t xml:space="preserve"> по социальному страхованию и обеспечению</t>
  </si>
  <si>
    <t xml:space="preserve"> задолженность перед дочерними и зависим. обществами</t>
  </si>
  <si>
    <t xml:space="preserve"> задолженность перед бюджетом</t>
  </si>
  <si>
    <t xml:space="preserve"> авансы полученные</t>
  </si>
  <si>
    <t xml:space="preserve"> прочие кредиторы</t>
  </si>
  <si>
    <t>Расчеты по дивидендам</t>
  </si>
  <si>
    <t>Доходы будующих периодов</t>
  </si>
  <si>
    <t>Фонды потребления</t>
  </si>
  <si>
    <t>Резервы предстоящих расходов и платежей</t>
  </si>
  <si>
    <t>Прочие краткосрочные пассивы</t>
  </si>
  <si>
    <t>Итого по разделу VI</t>
  </si>
  <si>
    <t>Показатель</t>
  </si>
  <si>
    <t>отч.период</t>
  </si>
  <si>
    <t>пред.пер.</t>
  </si>
  <si>
    <t>Себестоимость реализованных товаров</t>
  </si>
  <si>
    <t>Коммерческие расходы</t>
  </si>
  <si>
    <t>Управленческие расходы</t>
  </si>
  <si>
    <t>Прибыль (убыток) от реализации</t>
  </si>
  <si>
    <t>Проценты к получению</t>
  </si>
  <si>
    <t>Проценты к уплате</t>
  </si>
  <si>
    <t>Доходы от участия в др. организациях</t>
  </si>
  <si>
    <t>Прочие операционные доходы</t>
  </si>
  <si>
    <t>Прочие операционные расходы</t>
  </si>
  <si>
    <t>прибыль (убыток) от фин.-хоз. деятельности</t>
  </si>
  <si>
    <t>Прочие внереализационные расходы</t>
  </si>
  <si>
    <t>Прочие внереализационные доходы</t>
  </si>
  <si>
    <t>Прибыль (убыток) отчетного периода</t>
  </si>
  <si>
    <t>Налог на прибыль</t>
  </si>
  <si>
    <t>Отвлеченные средства</t>
  </si>
  <si>
    <t>Нераспредл. прибыль (убыток) отчетного периода</t>
  </si>
  <si>
    <t>Отчет о движении денежных средств (ф. 4)</t>
  </si>
  <si>
    <t>1.Остатки денежных средств на начало года</t>
  </si>
  <si>
    <t>Поступило денжных средств - всего</t>
  </si>
  <si>
    <t xml:space="preserve"> выручка от реализации товаров, продукции, услуг</t>
  </si>
  <si>
    <t xml:space="preserve"> выручка от реализации основных средств и иного имущ.</t>
  </si>
  <si>
    <t xml:space="preserve"> авансы, полученные от покупателей (заказчиков)</t>
  </si>
  <si>
    <t xml:space="preserve"> бюджетные ассигнования и иное целевое финансирование</t>
  </si>
  <si>
    <t xml:space="preserve"> безвозмездно</t>
  </si>
  <si>
    <t>кредиты, займы</t>
  </si>
  <si>
    <t>дивиденды, проценты по финансовым вложениям</t>
  </si>
  <si>
    <t>из банка в кассу организации</t>
  </si>
  <si>
    <t>прочие поступления</t>
  </si>
  <si>
    <t>3.Направлено денежных средств - всего</t>
  </si>
  <si>
    <t>на оплату приобретенных товаров,оплату работ, услуг</t>
  </si>
  <si>
    <t>на оплату труда</t>
  </si>
  <si>
    <t>отчисления на социальные нужды</t>
  </si>
  <si>
    <t>на выдачу подотчетных сумм</t>
  </si>
  <si>
    <t>1. Движение заемных средств</t>
  </si>
  <si>
    <t>Наименование показателя</t>
  </si>
  <si>
    <t>Ост.на нач.года</t>
  </si>
  <si>
    <t xml:space="preserve">Получено </t>
  </si>
  <si>
    <t>Погашено</t>
  </si>
  <si>
    <t>Ост.на кон. года</t>
  </si>
  <si>
    <t>Долгосрочные кредиты банков</t>
  </si>
  <si>
    <t>в том числе не погашенные в срок</t>
  </si>
  <si>
    <t>Прочие долгосрочные займы</t>
  </si>
  <si>
    <t>Краткосрочные кредиты банков</t>
  </si>
  <si>
    <t>Кредиты банков для работников</t>
  </si>
  <si>
    <t>Прочие краткосрочные займы</t>
  </si>
  <si>
    <t>2. Дебиторская и кредиторская задолженность</t>
  </si>
  <si>
    <t>Дебиторская задолженность:</t>
  </si>
  <si>
    <t xml:space="preserve">краткосрочная </t>
  </si>
  <si>
    <t>в том числе просроченная</t>
  </si>
  <si>
    <t>из нее длительностью свыше трех месяцев</t>
  </si>
  <si>
    <t>долгосрочная</t>
  </si>
  <si>
    <t>из стр. 220</t>
  </si>
  <si>
    <t xml:space="preserve">Кредиторская задолженность: </t>
  </si>
  <si>
    <t>из стр.240</t>
  </si>
  <si>
    <t xml:space="preserve">Обеспечение:  </t>
  </si>
  <si>
    <t>полученное</t>
  </si>
  <si>
    <t>в том числе от третьих лиц</t>
  </si>
  <si>
    <t>выданные</t>
  </si>
  <si>
    <t>в том числе третьим лицам</t>
  </si>
  <si>
    <t>Справки к разделу 2</t>
  </si>
  <si>
    <t>Воникло обяз.</t>
  </si>
  <si>
    <t>Погашено обяз.</t>
  </si>
  <si>
    <t>1) Движение векселей</t>
  </si>
  <si>
    <t>Векселя выданные:</t>
  </si>
  <si>
    <t>в том числе просроченные</t>
  </si>
  <si>
    <t>Векселя полученные:</t>
  </si>
  <si>
    <t>2) Дебитор.задолж.по поставленн.продукции (работам, услугам по фактич. себестоимости)</t>
  </si>
  <si>
    <t>3) Списана дебитор. задолж. на фин. результаты</t>
  </si>
  <si>
    <t>в том числе по истечении предельного срока</t>
  </si>
  <si>
    <t>3. Амортизационное имущество</t>
  </si>
  <si>
    <t>I. Нематериальные активы</t>
  </si>
  <si>
    <t>Права на объекты интелектуальной (промышленной собственности)</t>
  </si>
  <si>
    <t xml:space="preserve">в том числе права, возникающие: </t>
  </si>
  <si>
    <t>из авторских и иных договоров на произведения наукм, литературы и др.</t>
  </si>
  <si>
    <t>из патентов на изобретения, промышленные образцы, коллекционные достижения</t>
  </si>
  <si>
    <t>из прав на "ноу-хау"</t>
  </si>
  <si>
    <t>Права на пользование обособленными природными объектами</t>
  </si>
  <si>
    <t>Организационные расходы</t>
  </si>
  <si>
    <t>Деловая репутация организации</t>
  </si>
  <si>
    <t>Прочие</t>
  </si>
  <si>
    <t xml:space="preserve">Итого </t>
  </si>
  <si>
    <t>II. Основные средства</t>
  </si>
  <si>
    <t>Земельные участки и объекты природопользования</t>
  </si>
  <si>
    <t>Здания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</si>
  <si>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</si>
  <si>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</si>
  <si>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</si>
  <si>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</si>
  <si>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</si>
  <si>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</si>
  <si>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</si>
  <si>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</si>
  <si>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производственные</t>
  </si>
  <si>
    <t>непроизводственные</t>
  </si>
  <si>
    <t>III. Малоценные и быстроизнашивающие предметы-итого</t>
  </si>
  <si>
    <t>в том числе</t>
  </si>
  <si>
    <t>на складе</t>
  </si>
  <si>
    <t>в эксплуатации</t>
  </si>
  <si>
    <t>Справка к разделу 3</t>
  </si>
  <si>
    <t>Из строки 371, графы 3 и 6:</t>
  </si>
  <si>
    <t>передано в аренду - всего</t>
  </si>
  <si>
    <t xml:space="preserve">в том числе: </t>
  </si>
  <si>
    <t>здания</t>
  </si>
  <si>
    <t>сооружения</t>
  </si>
  <si>
    <t>Прочее оборудование</t>
  </si>
  <si>
    <t>передано на консервацию</t>
  </si>
  <si>
    <t>Износ амортизируемого имущества:</t>
  </si>
  <si>
    <t>нематериальных активов</t>
  </si>
  <si>
    <t>основных средсв - всего</t>
  </si>
  <si>
    <t>в том числе:</t>
  </si>
  <si>
    <t>зданий и сооружений</t>
  </si>
  <si>
    <t>машин, оборудования, транспортных средств</t>
  </si>
  <si>
    <t>других</t>
  </si>
  <si>
    <t>малоценных  и быстроизнашивающих предметов</t>
  </si>
  <si>
    <t>Справочно</t>
  </si>
  <si>
    <t>Рез-т по индексации в связи с переоценкой осн.ср-в:</t>
  </si>
  <si>
    <t>первоначальной восстановительной стоимости</t>
  </si>
  <si>
    <t>износа</t>
  </si>
  <si>
    <t>Имущество, находящееся в залоге</t>
  </si>
  <si>
    <t>4. Движение средств финансирования долгосрочных инвестиций и финасовых вложений</t>
  </si>
  <si>
    <t>Собственные средства организации - всего</t>
  </si>
  <si>
    <t>в том числе: амортизация основных средств</t>
  </si>
  <si>
    <t>амортизация нематериальных активов</t>
  </si>
  <si>
    <t>прибыль, ост.в распоряжении орг-и (фонд накопления)</t>
  </si>
  <si>
    <t>прочие</t>
  </si>
  <si>
    <t xml:space="preserve">Привлеченные средства - всего </t>
  </si>
  <si>
    <t>в том числе: кредиты банков</t>
  </si>
  <si>
    <t>заемные средства других организации</t>
  </si>
  <si>
    <t>долевое участие в строительстве</t>
  </si>
  <si>
    <t>из бюджета</t>
  </si>
  <si>
    <t>из внебюджетных фондов</t>
  </si>
  <si>
    <t>Всего собственных и привлеченных средств</t>
  </si>
  <si>
    <t>Инвестиции в дочерние общества</t>
  </si>
  <si>
    <t>Инвестиции в зависимые общества</t>
  </si>
  <si>
    <t>Социальные показатели</t>
  </si>
  <si>
    <t>Причисляется</t>
  </si>
  <si>
    <t>Израсходовано</t>
  </si>
  <si>
    <t>Перечислено в фонды</t>
  </si>
  <si>
    <t>Отчисления на социальные нужды</t>
  </si>
  <si>
    <t>в Фонд социального страхования</t>
  </si>
  <si>
    <t>в Пенсиооный фонд</t>
  </si>
  <si>
    <t>на медицинское страхование</t>
  </si>
  <si>
    <t>Среднесписочная численность работнмков</t>
  </si>
  <si>
    <t>Денежные выплаты и поощрения, не связанные с производством продукции</t>
  </si>
  <si>
    <t>Доходы по акциям и вкладам в имущество организации</t>
  </si>
  <si>
    <t>Вертикальный анализ уплотненного нетто-баланса</t>
  </si>
  <si>
    <t>Статья</t>
  </si>
  <si>
    <t>Начало года</t>
  </si>
  <si>
    <t>Конец года</t>
  </si>
  <si>
    <t>Изменение</t>
  </si>
  <si>
    <t>I. Внеоборотные активы</t>
  </si>
  <si>
    <t>Запасы и затраты</t>
  </si>
  <si>
    <t>Дебиторская задолженность</t>
  </si>
  <si>
    <t>Денежные средства и их эквиваленты</t>
  </si>
  <si>
    <t>Всего активов</t>
  </si>
  <si>
    <t>I. Собственный капитал</t>
  </si>
  <si>
    <t>Уставный капитал</t>
  </si>
  <si>
    <t>Фонды и резервы (нетто)</t>
  </si>
  <si>
    <t>II. Привлеченный капитал</t>
  </si>
  <si>
    <t>Долгосрочные пассивы</t>
  </si>
  <si>
    <t>Краткосрочные пассивы</t>
  </si>
  <si>
    <t>Всего пассивов</t>
  </si>
  <si>
    <t>Горизонтальный анализ уплотненного нетто-баланса</t>
  </si>
  <si>
    <t>тыс. руб.</t>
  </si>
  <si>
    <t>%</t>
  </si>
  <si>
    <t>Совокупность аналитических показателей для экспресс-анализа</t>
  </si>
  <si>
    <t>Направление анализа</t>
  </si>
  <si>
    <t>1. Оценка экон. потенциала субъекта хоз-я</t>
  </si>
  <si>
    <t>1. Величина основных средств</t>
  </si>
  <si>
    <t>положения</t>
  </si>
  <si>
    <t>2. Доля ОС в общей сумме активов</t>
  </si>
  <si>
    <t xml:space="preserve">4. Общая сумма хозяйственных средств </t>
  </si>
  <si>
    <t>1. Величина собственных средств (собственный капитал)</t>
  </si>
  <si>
    <t>2. Доля СС в общей сумме активов</t>
  </si>
  <si>
    <t>3. Коэффициент текущей ликвидности</t>
  </si>
  <si>
    <t>5.. Доля долгоср. заемных ср-в в общей сумме источников</t>
  </si>
  <si>
    <t>6. Коэффициент покрытия запасов</t>
  </si>
  <si>
    <t xml:space="preserve">1. Убытки </t>
  </si>
  <si>
    <t>статей в отчетности</t>
  </si>
  <si>
    <t>2. Ссуды и займы непогашенные в срок</t>
  </si>
  <si>
    <t>3. Просроченная дебитор. и кредитор. задолженность</t>
  </si>
  <si>
    <t>4. Векселя выданные</t>
  </si>
  <si>
    <t>5. Векселя полученные</t>
  </si>
  <si>
    <t>6. Векселя просроченные</t>
  </si>
  <si>
    <t>2. Оценка результативности финансово-хозяйственной деятельности</t>
  </si>
  <si>
    <t>1. Балансовая прибыль</t>
  </si>
  <si>
    <t>2. Чистая прибыль</t>
  </si>
  <si>
    <t>3. Выручка от реализации</t>
  </si>
  <si>
    <t>4. Рентабельность общая</t>
  </si>
  <si>
    <t>5. Рентабельность основной деятельности</t>
  </si>
  <si>
    <t>1. Сравнительные темпы роста выручки</t>
  </si>
  <si>
    <t>2. Сравнительные темпы роста прибыли</t>
  </si>
  <si>
    <t>3.Сравнительные темпы роста авансированного капитала</t>
  </si>
  <si>
    <t>4.Оборачиваемость активов</t>
  </si>
  <si>
    <t>5.Продолжительность операционного цикла</t>
  </si>
  <si>
    <t>6.Продолжительность финансового цикла</t>
  </si>
  <si>
    <t>7.Коэффициент погашаемости дебиторской задолженности</t>
  </si>
  <si>
    <t>1.Рентабельность авансированного капитала</t>
  </si>
  <si>
    <t>эк-ого потенциала</t>
  </si>
  <si>
    <t>2.Рентабельность собственного капитала</t>
  </si>
  <si>
    <t>3. Коэффициент износа основных средств</t>
  </si>
  <si>
    <t>4. Доля СОС в общей их сумме</t>
  </si>
  <si>
    <t>Система показателей оценки финансово-хозяйственной деятельности</t>
  </si>
  <si>
    <t>Название показателя</t>
  </si>
  <si>
    <t>1.1 Сумма, хоз.ср-в,находящихся в распоряж.организации</t>
  </si>
  <si>
    <t>1.3 Доля активной части основных средств</t>
  </si>
  <si>
    <t>1.4 Коэффициент износа основных средств</t>
  </si>
  <si>
    <t xml:space="preserve">1.5 Кэффициент обновления </t>
  </si>
  <si>
    <t>1.7 Коэффициент выбытия</t>
  </si>
  <si>
    <t>2.2 Маневренность собственных оборотных средств</t>
  </si>
  <si>
    <t>2.3 Коэффициент текущей ликвидности</t>
  </si>
  <si>
    <t>2.4 Коэффициент быстрой ликвидности</t>
  </si>
  <si>
    <t>2.6 Доля оборотных средств в активах</t>
  </si>
  <si>
    <t>2.7 Доля собственных средств в общей их сумме</t>
  </si>
  <si>
    <t>2.8 Доля запасов в оборотных активах</t>
  </si>
  <si>
    <t>2.9 Доля СОС в покрытии запасов</t>
  </si>
  <si>
    <t>2.10 Коэффицикнт покрытия запасов</t>
  </si>
  <si>
    <t>3.1Коэффициент концентрации собственного капитала</t>
  </si>
  <si>
    <t>устойчивости</t>
  </si>
  <si>
    <t>3.2 Коэффициент финансовой зависимости</t>
  </si>
  <si>
    <t>3.3 Коэффициент маневренности собственного капитала</t>
  </si>
  <si>
    <t>3.4 Коэффициент концентрации заемного капитала</t>
  </si>
  <si>
    <t>3.5 Коэффициент структуры долгосрочных вложений</t>
  </si>
  <si>
    <t>3.6 Коэфф. долгосрочного привлечения заемных средств</t>
  </si>
  <si>
    <t xml:space="preserve">3.7 Коэффициент структуры заемного капитала </t>
  </si>
  <si>
    <t>3.8 Коэфф. соотношения заемных и собственных средств</t>
  </si>
  <si>
    <t>4.1 Выручка от реализации</t>
  </si>
  <si>
    <t>активности</t>
  </si>
  <si>
    <t>4.2 Чистая прибыль</t>
  </si>
  <si>
    <t>4.3 Производительность труда</t>
  </si>
  <si>
    <t>4.4 Фондоотдача</t>
  </si>
  <si>
    <t>4.5 Оборачиваемость средств в расчетах (оборотах)</t>
  </si>
  <si>
    <t>4.6 Оборачиваемость средств в расчетах (днях)</t>
  </si>
  <si>
    <t>4.7 Оборачиваемость запасов (в оборотах)</t>
  </si>
  <si>
    <t>4.8 Оборачиваемость запасов (в днях)</t>
  </si>
  <si>
    <t>4.10 Продолжительность операционного цикла</t>
  </si>
  <si>
    <t>4.11 Продолжительность финансового цикла</t>
  </si>
  <si>
    <t>4.12 Коэфф. погашаемости дебиторской задолженности</t>
  </si>
  <si>
    <t>4.13 Оборачиваемость собственного капитала</t>
  </si>
  <si>
    <t>4.14 Оборачиваемость совокупного капитала</t>
  </si>
  <si>
    <t>5.1 Чистая прибыль</t>
  </si>
  <si>
    <t>5.2 Рентабельность продукции</t>
  </si>
  <si>
    <t>5.3 Рентабельность основной деятельности</t>
  </si>
  <si>
    <t>5.4 Рентабельность совокупного капитала (авансированного)</t>
  </si>
  <si>
    <t>5.5 Рентабельность собственного капитала</t>
  </si>
  <si>
    <t>5.6 Период окупаемости собственного капитала</t>
  </si>
  <si>
    <t>2.1 Величина СОС (функционирующий капитал)</t>
  </si>
  <si>
    <t xml:space="preserve"> Значение </t>
  </si>
  <si>
    <t>на нач.года</t>
  </si>
  <si>
    <t>на кон.года</t>
  </si>
  <si>
    <t xml:space="preserve">1.1 Оценка </t>
  </si>
  <si>
    <t xml:space="preserve">имущественного </t>
  </si>
  <si>
    <t>финансового</t>
  </si>
  <si>
    <t>1.2 Оценка</t>
  </si>
  <si>
    <t>1.3 Наличие</t>
  </si>
  <si>
    <t xml:space="preserve"> "больных" </t>
  </si>
  <si>
    <t xml:space="preserve">2.1 Оценка </t>
  </si>
  <si>
    <t>прибыльности</t>
  </si>
  <si>
    <t>2.2 Оценка</t>
  </si>
  <si>
    <t xml:space="preserve"> динамичности</t>
  </si>
  <si>
    <t xml:space="preserve">Оценка эффек-ти </t>
  </si>
  <si>
    <t xml:space="preserve">использ. </t>
  </si>
  <si>
    <t>Оценка</t>
  </si>
  <si>
    <t xml:space="preserve"> имущественного </t>
  </si>
  <si>
    <t xml:space="preserve">Оценка </t>
  </si>
  <si>
    <t>ликвидности</t>
  </si>
  <si>
    <t xml:space="preserve"> Оценка </t>
  </si>
  <si>
    <t xml:space="preserve">финансовой </t>
  </si>
  <si>
    <t xml:space="preserve"> деловой </t>
  </si>
  <si>
    <t>рентабельности</t>
  </si>
  <si>
    <t xml:space="preserve"> Знач. на нач.г</t>
  </si>
  <si>
    <t xml:space="preserve"> Знач. на кон.г</t>
  </si>
  <si>
    <t>1.2 Доля основных средств в активах</t>
  </si>
  <si>
    <t>2.5 Коэфф. абсолютной ликвидности (платежеспособности)</t>
  </si>
  <si>
    <t>4.9 Оборачиваемость кредиторской задолженности (в днях)</t>
  </si>
  <si>
    <t xml:space="preserve"> </t>
  </si>
  <si>
    <t>Выручка от реализации продукции</t>
  </si>
  <si>
    <t>На начало года</t>
  </si>
  <si>
    <t>На конец года</t>
  </si>
  <si>
    <t>в % к итогу</t>
  </si>
  <si>
    <t>(+-) Изменение</t>
  </si>
  <si>
    <t>руб.</t>
  </si>
  <si>
    <t>(+-) Изменения</t>
  </si>
  <si>
    <t xml:space="preserve">               Таблица № 1.</t>
  </si>
  <si>
    <t>Анализ состава и размещения активов ОАО "Статус" 1998 год</t>
  </si>
  <si>
    <t>Статьи актива баланса</t>
  </si>
  <si>
    <t xml:space="preserve">                     Таблица № 2.</t>
  </si>
  <si>
    <t>Анализ динамики и структуры источников финансовых ресурсов ОАО "Статус" 1998 год.</t>
  </si>
  <si>
    <t>Виды источников финансовых ресурсов (статьи пассива баланса)</t>
  </si>
  <si>
    <t>Отчетный год</t>
  </si>
  <si>
    <t>Прошлый год</t>
  </si>
  <si>
    <t>Отклонение (+,-)</t>
  </si>
  <si>
    <t>Удельный вес в выручке, %</t>
  </si>
  <si>
    <t>Отклонение удельного веса</t>
  </si>
  <si>
    <t xml:space="preserve">                   Таблица № 3.</t>
  </si>
  <si>
    <t>Анализ формирования балансовой прибыли предприятия ОАО "Статус" за 1998 г.</t>
  </si>
  <si>
    <t>Форма № 1</t>
  </si>
  <si>
    <t>Бухгалтерский баланс ОАО "Статус" за 1998 год</t>
  </si>
  <si>
    <t>Нематериальные активы (04, 05)</t>
  </si>
  <si>
    <t>Основные средства (01, 02, 03)</t>
  </si>
  <si>
    <t>Незавершенное строительство (07, 08, 61)</t>
  </si>
  <si>
    <t>Долгосрочные финансовые вложения (06, 82)</t>
  </si>
  <si>
    <t xml:space="preserve"> сырье, материалы и др. (10, 15, 16)</t>
  </si>
  <si>
    <t xml:space="preserve"> животные на выращивании и откормле (11)</t>
  </si>
  <si>
    <t xml:space="preserve"> малоценные и быстроизнашив. Предметы (12, 13, 16)</t>
  </si>
  <si>
    <t xml:space="preserve"> затраты в незавершенном производстве (20,21,23,29,30,36,44)</t>
  </si>
  <si>
    <t xml:space="preserve"> готовая продукция и товары для перепродажи (40, 41)</t>
  </si>
  <si>
    <t xml:space="preserve"> товары отгруженные (45)</t>
  </si>
  <si>
    <t xml:space="preserve"> расходы будущих периодов (31)</t>
  </si>
  <si>
    <t>Налог на добавл. стоим. по приобрет. Ценностям (19)</t>
  </si>
  <si>
    <t xml:space="preserve"> покупатели и заказчики (62, 76, 82)</t>
  </si>
  <si>
    <t xml:space="preserve"> векселя к получению (62)</t>
  </si>
  <si>
    <t xml:space="preserve"> задолженность дочерних и зависимых обществ (78)</t>
  </si>
  <si>
    <t xml:space="preserve"> авансы выданные (61)</t>
  </si>
  <si>
    <t xml:space="preserve"> покупатели и заказчики (62, 76, 78)</t>
  </si>
  <si>
    <t xml:space="preserve"> задолженность дочерних и зависимых обществ  (78)</t>
  </si>
  <si>
    <t xml:space="preserve"> задолженн. участников по взносам в уставн. кап. (75)</t>
  </si>
  <si>
    <t>Краткосрочные финансовые вложения (56, 58, 82)</t>
  </si>
  <si>
    <t xml:space="preserve"> касса (50)</t>
  </si>
  <si>
    <t xml:space="preserve"> расчетные счета (51)</t>
  </si>
  <si>
    <t xml:space="preserve"> валютные счета (52)</t>
  </si>
  <si>
    <t xml:space="preserve"> прочие денежные средства (55, 56, 57)</t>
  </si>
  <si>
    <t>Непокрытые убытки прошлых лет (88)</t>
  </si>
  <si>
    <t>Уставной капитал (85)</t>
  </si>
  <si>
    <t>Добавочный капитал (87)</t>
  </si>
  <si>
    <t>Резервный капитал (86)</t>
  </si>
  <si>
    <t>Фонды накопления (88)</t>
  </si>
  <si>
    <t>Фонд социальной сферы (88)</t>
  </si>
  <si>
    <t>Целевые финансирование и поступления (96)</t>
  </si>
  <si>
    <t>Нераспределенная прибыль прошлых лет (88)</t>
  </si>
  <si>
    <t>Заемные средства (90, 94)</t>
  </si>
  <si>
    <t>Заемные средства (92, 95)</t>
  </si>
  <si>
    <t xml:space="preserve"> поставщики и подрядчики (60, 76)</t>
  </si>
  <si>
    <t xml:space="preserve"> векселя к уплате (60)</t>
  </si>
  <si>
    <t xml:space="preserve"> по оплате труда (70)</t>
  </si>
  <si>
    <t xml:space="preserve"> по социальному страхованию и обеспечению (68)</t>
  </si>
  <si>
    <t xml:space="preserve"> задолженность перед дочерними и зависим. Обществами (78)</t>
  </si>
  <si>
    <t xml:space="preserve"> задолженность перед бюджетом (68)</t>
  </si>
  <si>
    <t xml:space="preserve"> авансы полученные (64)</t>
  </si>
  <si>
    <t>Расчеты по дивидендам (75)</t>
  </si>
  <si>
    <t>Доходы будующих периодов (83)</t>
  </si>
  <si>
    <t>Фонды потребления (88)</t>
  </si>
  <si>
    <t>Резервы предстоящих расходов и платежей (89)</t>
  </si>
  <si>
    <t>Форма № 2.</t>
  </si>
  <si>
    <t xml:space="preserve">             Отчет о прибылях и убытках</t>
  </si>
  <si>
    <t>Приложение к бухгалтерскому балансу</t>
  </si>
  <si>
    <t>Форма № 5.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</si>
</sst>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0E+00;\"/>
    <numFmt numFmtId="172" formatCode="0.000000E+00;\"/>
    <numFmt numFmtId="173" formatCode="0.0000000E+00;\"/>
    <numFmt numFmtId="174" formatCode="0.00000000E+00;\"/>
    <numFmt numFmtId="175" formatCode="0.000000000E+00;\"/>
    <numFmt numFmtId="176" formatCode="0.0000000000E+00;\"/>
    <numFmt numFmtId="177" formatCode="0.00000000000E+00;\"/>
    <numFmt numFmtId="178" formatCode="0.000000000000E+00;\"/>
    <numFmt numFmtId="179" formatCode="0.0000000000000E+00;\"/>
    <numFmt numFmtId="180" formatCode="0.00000000000000E+00;\"/>
    <numFmt numFmtId="181" formatCode="0.000000000000000E+00;\"/>
    <numFmt numFmtId="182" formatCode="0.00000E+00;\"/>
    <numFmt numFmtId="183" formatCode="0.0000E+00;\"/>
    <numFmt numFmtId="184" formatCode="0.000E+00;\"/>
    <numFmt numFmtId="185" formatCode="0.00E+00;\"/>
    <numFmt numFmtId="186" formatCode="0.0E+00;\"/>
    <numFmt numFmtId="187" formatCode="0E+00;\"/>
    <numFmt numFmtId="188" formatCode="0.000000000"/>
    <numFmt numFmtId="189" formatCode="0.0000000000"/>
    <numFmt numFmtId="190" formatCode="#,##0.00_р_."/>
    <numFmt numFmtId="191" formatCode="#,##0_р_."/>
    <numFmt numFmtId="192" formatCode="#,##0.000_р_."/>
  </numFmts>
  <fonts count="12">
    <font>
      <sz val="10"/>
      <name val="Arial Cyr"/>
      <family val="0"/>
    </font>
    <font>
      <b/>
      <sz val="12"/>
      <name val="Arial Cyr"/>
      <family val="2"/>
    </font>
    <font>
      <u val="single"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u val="single"/>
      <sz val="12"/>
      <name val="Arial Cyr"/>
      <family val="2"/>
    </font>
    <font>
      <b/>
      <i/>
      <sz val="14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0" fillId="0" borderId="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191" fontId="0" fillId="0" borderId="13" xfId="0" applyNumberFormat="1" applyBorder="1" applyAlignment="1">
      <alignment horizontal="center"/>
    </xf>
    <xf numFmtId="191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191" fontId="0" fillId="0" borderId="14" xfId="0" applyNumberFormat="1" applyFont="1" applyBorder="1" applyAlignment="1">
      <alignment horizontal="right"/>
    </xf>
    <xf numFmtId="192" fontId="0" fillId="0" borderId="15" xfId="0" applyNumberFormat="1" applyFont="1" applyBorder="1" applyAlignment="1">
      <alignment horizontal="right"/>
    </xf>
    <xf numFmtId="191" fontId="0" fillId="0" borderId="16" xfId="0" applyNumberFormat="1" applyFont="1" applyBorder="1" applyAlignment="1">
      <alignment horizontal="right"/>
    </xf>
    <xf numFmtId="192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9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 horizontal="center"/>
    </xf>
    <xf numFmtId="191" fontId="0" fillId="0" borderId="22" xfId="0" applyNumberFormat="1" applyFont="1" applyBorder="1" applyAlignment="1">
      <alignment horizontal="right"/>
    </xf>
    <xf numFmtId="192" fontId="0" fillId="0" borderId="23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191" fontId="0" fillId="0" borderId="25" xfId="0" applyNumberFormat="1" applyFont="1" applyBorder="1" applyAlignment="1">
      <alignment horizontal="right"/>
    </xf>
    <xf numFmtId="192" fontId="0" fillId="0" borderId="26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91" fontId="0" fillId="0" borderId="27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191" fontId="5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/>
    </xf>
    <xf numFmtId="0" fontId="1" fillId="0" borderId="4" xfId="0" applyFont="1" applyBorder="1" applyAlignment="1">
      <alignment/>
    </xf>
    <xf numFmtId="191" fontId="0" fillId="0" borderId="15" xfId="0" applyNumberFormat="1" applyBorder="1" applyAlignment="1">
      <alignment/>
    </xf>
    <xf numFmtId="191" fontId="0" fillId="0" borderId="28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1" fontId="0" fillId="0" borderId="27" xfId="0" applyNumberFormat="1" applyBorder="1" applyAlignment="1">
      <alignment horizontal="right"/>
    </xf>
    <xf numFmtId="191" fontId="0" fillId="0" borderId="26" xfId="0" applyNumberFormat="1" applyBorder="1" applyAlignment="1">
      <alignment horizontal="right"/>
    </xf>
    <xf numFmtId="191" fontId="0" fillId="0" borderId="26" xfId="0" applyNumberFormat="1" applyFont="1" applyBorder="1" applyAlignment="1">
      <alignment horizontal="right"/>
    </xf>
    <xf numFmtId="191" fontId="5" fillId="0" borderId="29" xfId="0" applyNumberFormat="1" applyFont="1" applyBorder="1" applyAlignment="1">
      <alignment horizontal="right"/>
    </xf>
    <xf numFmtId="191" fontId="5" fillId="0" borderId="23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91" fontId="0" fillId="0" borderId="30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191" fontId="0" fillId="0" borderId="29" xfId="0" applyNumberFormat="1" applyBorder="1" applyAlignment="1">
      <alignment horizontal="right"/>
    </xf>
    <xf numFmtId="191" fontId="0" fillId="0" borderId="23" xfId="0" applyNumberFormat="1" applyBorder="1" applyAlignment="1">
      <alignment horizontal="right"/>
    </xf>
    <xf numFmtId="191" fontId="0" fillId="0" borderId="31" xfId="0" applyNumberFormat="1" applyBorder="1" applyAlignment="1">
      <alignment horizontal="right"/>
    </xf>
    <xf numFmtId="191" fontId="0" fillId="0" borderId="32" xfId="0" applyNumberFormat="1" applyBorder="1" applyAlignment="1">
      <alignment horizontal="right"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191" fontId="1" fillId="0" borderId="30" xfId="0" applyNumberFormat="1" applyFont="1" applyBorder="1" applyAlignment="1">
      <alignment horizontal="right"/>
    </xf>
    <xf numFmtId="191" fontId="1" fillId="0" borderId="17" xfId="0" applyNumberFormat="1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91" fontId="1" fillId="0" borderId="34" xfId="0" applyNumberFormat="1" applyFont="1" applyBorder="1" applyAlignment="1">
      <alignment horizontal="center"/>
    </xf>
    <xf numFmtId="191" fontId="1" fillId="0" borderId="3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91" fontId="1" fillId="0" borderId="29" xfId="0" applyNumberFormat="1" applyFont="1" applyBorder="1" applyAlignment="1">
      <alignment horizontal="right"/>
    </xf>
    <xf numFmtId="191" fontId="1" fillId="0" borderId="2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/>
    </xf>
    <xf numFmtId="191" fontId="0" fillId="0" borderId="17" xfId="0" applyNumberFormat="1" applyBorder="1" applyAlignment="1">
      <alignment/>
    </xf>
    <xf numFmtId="191" fontId="0" fillId="0" borderId="21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191" fontId="0" fillId="0" borderId="38" xfId="0" applyNumberFormat="1" applyBorder="1" applyAlignment="1">
      <alignment/>
    </xf>
    <xf numFmtId="191" fontId="0" fillId="0" borderId="39" xfId="0" applyNumberFormat="1" applyBorder="1" applyAlignment="1">
      <alignment/>
    </xf>
    <xf numFmtId="191" fontId="0" fillId="0" borderId="14" xfId="0" applyNumberFormat="1" applyBorder="1" applyAlignment="1">
      <alignment/>
    </xf>
    <xf numFmtId="191" fontId="0" fillId="0" borderId="2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wrapText="1"/>
    </xf>
    <xf numFmtId="188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9" fillId="0" borderId="13" xfId="0" applyFont="1" applyBorder="1" applyAlignment="1">
      <alignment wrapText="1"/>
    </xf>
    <xf numFmtId="192" fontId="0" fillId="0" borderId="0" xfId="0" applyNumberFormat="1" applyAlignment="1">
      <alignment/>
    </xf>
    <xf numFmtId="0" fontId="1" fillId="0" borderId="0" xfId="0" applyFont="1" applyAlignment="1">
      <alignment/>
    </xf>
    <xf numFmtId="19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192" fontId="0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91" fontId="0" fillId="0" borderId="40" xfId="0" applyNumberFormat="1" applyFont="1" applyBorder="1" applyAlignment="1">
      <alignment horizontal="center"/>
    </xf>
    <xf numFmtId="191" fontId="0" fillId="0" borderId="4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5" fillId="0" borderId="18" xfId="0" applyFont="1" applyBorder="1" applyAlignment="1">
      <alignment/>
    </xf>
    <xf numFmtId="191" fontId="5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11" fillId="0" borderId="39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92" fontId="0" fillId="0" borderId="13" xfId="0" applyNumberFormat="1" applyBorder="1" applyAlignment="1">
      <alignment/>
    </xf>
    <xf numFmtId="191" fontId="0" fillId="0" borderId="47" xfId="0" applyNumberFormat="1" applyBorder="1" applyAlignment="1">
      <alignment/>
    </xf>
    <xf numFmtId="192" fontId="0" fillId="0" borderId="47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5" xfId="0" applyNumberFormat="1" applyBorder="1" applyAlignment="1">
      <alignment/>
    </xf>
    <xf numFmtId="191" fontId="0" fillId="0" borderId="48" xfId="0" applyNumberFormat="1" applyBorder="1" applyAlignment="1">
      <alignment/>
    </xf>
    <xf numFmtId="192" fontId="0" fillId="0" borderId="48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49" xfId="0" applyFont="1" applyBorder="1" applyAlignment="1">
      <alignment/>
    </xf>
    <xf numFmtId="0" fontId="11" fillId="0" borderId="26" xfId="0" applyFont="1" applyBorder="1" applyAlignment="1">
      <alignment horizontal="center" wrapText="1"/>
    </xf>
    <xf numFmtId="192" fontId="1" fillId="0" borderId="0" xfId="0" applyNumberFormat="1" applyFont="1" applyAlignment="1">
      <alignment/>
    </xf>
    <xf numFmtId="0" fontId="5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1" fontId="0" fillId="0" borderId="18" xfId="0" applyNumberFormat="1" applyBorder="1" applyAlignment="1">
      <alignment/>
    </xf>
    <xf numFmtId="191" fontId="0" fillId="0" borderId="19" xfId="0" applyNumberFormat="1" applyBorder="1" applyAlignment="1">
      <alignment/>
    </xf>
    <xf numFmtId="191" fontId="0" fillId="0" borderId="33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23"/>
  <sheetViews>
    <sheetView workbookViewId="0" topLeftCell="D1">
      <selection activeCell="A1" sqref="A1"/>
      <selection activeCell="G9" sqref="G9"/>
    </sheetView>
  </sheetViews>
  <sheetFormatPr defaultColWidth="9.00390625" defaultRowHeight="12.75"/>
  <cols>
    <col min="1" max="1" width="44.75390625" style="0" customWidth="1"/>
    <col min="3" max="4" width="13.75390625" style="0" customWidth="1"/>
    <col min="5" max="5" width="13.50390625" style="0" customWidth="1"/>
    <col min="6" max="8" width="12.75390625" style="0" customWidth="1"/>
  </cols>
  <sheetData>
    <row r="1" ht="12.75">
      <c r="A1" t="s">
        <v>391</v>
      </c>
    </row>
    <row r="2" s="157" customFormat="1" ht="15">
      <c r="A2" s="157" t="s">
        <v>392</v>
      </c>
    </row>
    <row r="3" spans="1:4" s="8" customFormat="1" ht="15.75" thickBot="1">
      <c r="A3" s="197"/>
      <c r="B3" s="183"/>
      <c r="C3" s="183"/>
      <c r="D3" s="183"/>
    </row>
    <row r="4" spans="1:8" s="8" customFormat="1" ht="12.75">
      <c r="A4" s="172" t="s">
        <v>131</v>
      </c>
      <c r="B4" s="166" t="s">
        <v>1</v>
      </c>
      <c r="C4" s="200" t="s">
        <v>387</v>
      </c>
      <c r="D4" s="200" t="s">
        <v>386</v>
      </c>
      <c r="E4" s="201" t="s">
        <v>388</v>
      </c>
      <c r="F4" s="202" t="s">
        <v>389</v>
      </c>
      <c r="G4" s="202"/>
      <c r="H4" s="203" t="s">
        <v>390</v>
      </c>
    </row>
    <row r="5" spans="1:8" s="67" customFormat="1" ht="13.5" thickBot="1">
      <c r="A5" s="215"/>
      <c r="B5" s="216"/>
      <c r="C5" s="217"/>
      <c r="D5" s="217"/>
      <c r="E5" s="218"/>
      <c r="F5" s="219" t="s">
        <v>387</v>
      </c>
      <c r="G5" s="219" t="s">
        <v>386</v>
      </c>
      <c r="H5" s="220"/>
    </row>
    <row r="6" spans="1:8" ht="13.5" thickBot="1">
      <c r="A6" s="139">
        <v>1</v>
      </c>
      <c r="B6" s="137">
        <v>2</v>
      </c>
      <c r="C6" s="137">
        <v>3</v>
      </c>
      <c r="D6" s="137">
        <v>3</v>
      </c>
      <c r="E6" s="137">
        <v>4</v>
      </c>
      <c r="F6" s="137">
        <v>5</v>
      </c>
      <c r="G6" s="137">
        <v>6</v>
      </c>
      <c r="H6" s="138">
        <v>7</v>
      </c>
    </row>
    <row r="7" spans="1:8" ht="12.75">
      <c r="A7" s="117" t="s">
        <v>373</v>
      </c>
      <c r="B7" s="204">
        <v>10</v>
      </c>
      <c r="C7" s="208">
        <v>712452287</v>
      </c>
      <c r="D7" s="208">
        <v>904042928</v>
      </c>
      <c r="E7" s="208">
        <f>D7-C7</f>
        <v>191590641</v>
      </c>
      <c r="F7" s="209">
        <f>C7/$C$7*100</f>
        <v>100</v>
      </c>
      <c r="G7" s="209">
        <f>D7/$D$7*100</f>
        <v>100</v>
      </c>
      <c r="H7" s="210">
        <f>G7-F7</f>
        <v>0</v>
      </c>
    </row>
    <row r="8" spans="1:8" ht="12.75">
      <c r="A8" s="102" t="s">
        <v>97</v>
      </c>
      <c r="B8" s="205">
        <v>20</v>
      </c>
      <c r="C8" s="66">
        <v>668220746</v>
      </c>
      <c r="D8" s="66">
        <v>767658242</v>
      </c>
      <c r="E8" s="66">
        <f aca="true" t="shared" si="0" ref="E8:E23">D8-C8</f>
        <v>99437496</v>
      </c>
      <c r="F8" s="207">
        <f aca="true" t="shared" si="1" ref="F8:F23">C8/$C$7*100</f>
        <v>93.79164867499401</v>
      </c>
      <c r="G8" s="207">
        <f aca="true" t="shared" si="2" ref="G8:G23">D8/$D$7*100</f>
        <v>84.91391484011476</v>
      </c>
      <c r="H8" s="211">
        <f aca="true" t="shared" si="3" ref="H8:H23">G8-F8</f>
        <v>-8.877733834879251</v>
      </c>
    </row>
    <row r="9" spans="1:8" ht="12.75">
      <c r="A9" s="102" t="s">
        <v>98</v>
      </c>
      <c r="B9" s="205">
        <v>30</v>
      </c>
      <c r="C9" s="66">
        <v>11238650</v>
      </c>
      <c r="D9" s="66">
        <v>8316752</v>
      </c>
      <c r="E9" s="66">
        <f t="shared" si="0"/>
        <v>-2921898</v>
      </c>
      <c r="F9" s="207">
        <f t="shared" si="1"/>
        <v>1.5774600215438708</v>
      </c>
      <c r="G9" s="207">
        <f t="shared" si="2"/>
        <v>0.9199510048044975</v>
      </c>
      <c r="H9" s="211">
        <f t="shared" si="3"/>
        <v>-0.6575090167393732</v>
      </c>
    </row>
    <row r="10" spans="1:8" ht="12.75">
      <c r="A10" s="102" t="s">
        <v>99</v>
      </c>
      <c r="B10" s="205">
        <v>40</v>
      </c>
      <c r="C10" s="66"/>
      <c r="D10" s="66"/>
      <c r="E10" s="66">
        <f t="shared" si="0"/>
        <v>0</v>
      </c>
      <c r="F10" s="207">
        <f t="shared" si="1"/>
        <v>0</v>
      </c>
      <c r="G10" s="207">
        <f t="shared" si="2"/>
        <v>0</v>
      </c>
      <c r="H10" s="211">
        <f t="shared" si="3"/>
        <v>0</v>
      </c>
    </row>
    <row r="11" spans="1:8" ht="12.75">
      <c r="A11" s="102" t="s">
        <v>100</v>
      </c>
      <c r="B11" s="205">
        <v>50</v>
      </c>
      <c r="C11" s="66">
        <v>32992891</v>
      </c>
      <c r="D11" s="66">
        <v>128067934</v>
      </c>
      <c r="E11" s="66">
        <f t="shared" si="0"/>
        <v>95075043</v>
      </c>
      <c r="F11" s="207">
        <f t="shared" si="1"/>
        <v>4.630891303462122</v>
      </c>
      <c r="G11" s="207">
        <f t="shared" si="2"/>
        <v>14.166134155080742</v>
      </c>
      <c r="H11" s="211">
        <f t="shared" si="3"/>
        <v>9.53524285161862</v>
      </c>
    </row>
    <row r="12" spans="1:8" ht="12.75">
      <c r="A12" s="102" t="s">
        <v>101</v>
      </c>
      <c r="B12" s="205">
        <v>60</v>
      </c>
      <c r="C12" s="66">
        <v>27956</v>
      </c>
      <c r="D12" s="66"/>
      <c r="E12" s="66">
        <f t="shared" si="0"/>
        <v>-27956</v>
      </c>
      <c r="F12" s="207">
        <f t="shared" si="1"/>
        <v>0.003923911889976149</v>
      </c>
      <c r="G12" s="207">
        <f t="shared" si="2"/>
        <v>0</v>
      </c>
      <c r="H12" s="211">
        <f t="shared" si="3"/>
        <v>-0.003923911889976149</v>
      </c>
    </row>
    <row r="13" spans="1:8" ht="12.75">
      <c r="A13" s="102" t="s">
        <v>102</v>
      </c>
      <c r="B13" s="205">
        <v>70</v>
      </c>
      <c r="C13" s="66"/>
      <c r="D13" s="66"/>
      <c r="E13" s="66">
        <f t="shared" si="0"/>
        <v>0</v>
      </c>
      <c r="F13" s="207">
        <f t="shared" si="1"/>
        <v>0</v>
      </c>
      <c r="G13" s="207">
        <f t="shared" si="2"/>
        <v>0</v>
      </c>
      <c r="H13" s="211">
        <f t="shared" si="3"/>
        <v>0</v>
      </c>
    </row>
    <row r="14" spans="1:8" ht="12.75">
      <c r="A14" s="102" t="s">
        <v>103</v>
      </c>
      <c r="B14" s="205">
        <v>80</v>
      </c>
      <c r="C14" s="66">
        <v>29848</v>
      </c>
      <c r="D14" s="66">
        <v>58642</v>
      </c>
      <c r="E14" s="66">
        <f t="shared" si="0"/>
        <v>28794</v>
      </c>
      <c r="F14" s="207">
        <f t="shared" si="1"/>
        <v>0.00418947353312377</v>
      </c>
      <c r="G14" s="207">
        <f t="shared" si="2"/>
        <v>0.006486638873414206</v>
      </c>
      <c r="H14" s="211">
        <f t="shared" si="3"/>
        <v>0.002297165340290436</v>
      </c>
    </row>
    <row r="15" spans="1:8" ht="12.75">
      <c r="A15" s="102" t="s">
        <v>104</v>
      </c>
      <c r="B15" s="205">
        <v>90</v>
      </c>
      <c r="C15" s="66">
        <v>4008134</v>
      </c>
      <c r="D15" s="66">
        <v>22845301</v>
      </c>
      <c r="E15" s="66">
        <f t="shared" si="0"/>
        <v>18837167</v>
      </c>
      <c r="F15" s="207">
        <f t="shared" si="1"/>
        <v>0.5625827965094313</v>
      </c>
      <c r="G15" s="207">
        <f t="shared" si="2"/>
        <v>2.5270150667004607</v>
      </c>
      <c r="H15" s="211">
        <f t="shared" si="3"/>
        <v>1.9644322701910295</v>
      </c>
    </row>
    <row r="16" spans="1:8" ht="12.75">
      <c r="A16" s="102" t="s">
        <v>105</v>
      </c>
      <c r="B16" s="205">
        <v>100</v>
      </c>
      <c r="C16" s="66">
        <v>17511339</v>
      </c>
      <c r="D16" s="66">
        <v>41256178</v>
      </c>
      <c r="E16" s="66">
        <f t="shared" si="0"/>
        <v>23744839</v>
      </c>
      <c r="F16" s="207">
        <f t="shared" si="1"/>
        <v>2.4578963840142745</v>
      </c>
      <c r="G16" s="207">
        <f t="shared" si="2"/>
        <v>4.563519797812079</v>
      </c>
      <c r="H16" s="211">
        <f t="shared" si="3"/>
        <v>2.1056234137978045</v>
      </c>
    </row>
    <row r="17" spans="1:8" ht="12.75">
      <c r="A17" s="102" t="s">
        <v>106</v>
      </c>
      <c r="B17" s="205">
        <v>110</v>
      </c>
      <c r="C17" s="66">
        <v>19547490</v>
      </c>
      <c r="D17" s="66">
        <v>109715699</v>
      </c>
      <c r="E17" s="66">
        <f t="shared" si="0"/>
        <v>90168209</v>
      </c>
      <c r="F17" s="207">
        <f t="shared" si="1"/>
        <v>2.7436911013803793</v>
      </c>
      <c r="G17" s="207">
        <f t="shared" si="2"/>
        <v>12.136116062842538</v>
      </c>
      <c r="H17" s="211">
        <f t="shared" si="3"/>
        <v>9.392424961462158</v>
      </c>
    </row>
    <row r="18" spans="1:8" ht="12.75">
      <c r="A18" s="102" t="s">
        <v>107</v>
      </c>
      <c r="B18" s="205">
        <v>120</v>
      </c>
      <c r="C18" s="66">
        <v>1764054</v>
      </c>
      <c r="D18" s="66">
        <v>4319352</v>
      </c>
      <c r="E18" s="66">
        <f t="shared" si="0"/>
        <v>2555298</v>
      </c>
      <c r="F18" s="207">
        <f t="shared" si="1"/>
        <v>0.24760310720990078</v>
      </c>
      <c r="G18" s="207">
        <f t="shared" si="2"/>
        <v>0.4777817364885133</v>
      </c>
      <c r="H18" s="211">
        <f t="shared" si="3"/>
        <v>0.23017862927861252</v>
      </c>
    </row>
    <row r="19" spans="1:8" ht="12.75">
      <c r="A19" s="102" t="s">
        <v>108</v>
      </c>
      <c r="B19" s="205">
        <v>130</v>
      </c>
      <c r="C19" s="66">
        <v>202958</v>
      </c>
      <c r="D19" s="66">
        <v>219822</v>
      </c>
      <c r="E19" s="66">
        <f t="shared" si="0"/>
        <v>16864</v>
      </c>
      <c r="F19" s="207">
        <f t="shared" si="1"/>
        <v>0.028487240998918993</v>
      </c>
      <c r="G19" s="207">
        <f t="shared" si="2"/>
        <v>0.024315438259807944</v>
      </c>
      <c r="H19" s="211">
        <f t="shared" si="3"/>
        <v>-0.004171802739111049</v>
      </c>
    </row>
    <row r="20" spans="1:8" ht="12.75">
      <c r="A20" s="102" t="s">
        <v>109</v>
      </c>
      <c r="B20" s="205">
        <v>140</v>
      </c>
      <c r="C20" s="66">
        <v>21108586</v>
      </c>
      <c r="D20" s="66">
        <v>113815229</v>
      </c>
      <c r="E20" s="66">
        <f t="shared" si="0"/>
        <v>92706643</v>
      </c>
      <c r="F20" s="207">
        <f t="shared" si="1"/>
        <v>2.962806967591361</v>
      </c>
      <c r="G20" s="207">
        <f t="shared" si="2"/>
        <v>12.589582361071244</v>
      </c>
      <c r="H20" s="211">
        <f t="shared" si="3"/>
        <v>9.626775393479884</v>
      </c>
    </row>
    <row r="21" spans="1:8" ht="12.75">
      <c r="A21" s="102" t="s">
        <v>110</v>
      </c>
      <c r="B21" s="205">
        <v>150</v>
      </c>
      <c r="C21" s="66">
        <v>14368351</v>
      </c>
      <c r="D21" s="66">
        <v>47676016</v>
      </c>
      <c r="E21" s="66">
        <f t="shared" si="0"/>
        <v>33307665</v>
      </c>
      <c r="F21" s="207">
        <f t="shared" si="1"/>
        <v>2.016745719282111</v>
      </c>
      <c r="G21" s="207">
        <f t="shared" si="2"/>
        <v>5.273645147080892</v>
      </c>
      <c r="H21" s="211">
        <f t="shared" si="3"/>
        <v>3.2568994277987806</v>
      </c>
    </row>
    <row r="22" spans="1:8" ht="12.75">
      <c r="A22" s="102" t="s">
        <v>111</v>
      </c>
      <c r="B22" s="205">
        <v>160</v>
      </c>
      <c r="C22" s="66"/>
      <c r="D22" s="66">
        <v>63984839</v>
      </c>
      <c r="E22" s="66">
        <f t="shared" si="0"/>
        <v>63984839</v>
      </c>
      <c r="F22" s="207">
        <f t="shared" si="1"/>
        <v>0</v>
      </c>
      <c r="G22" s="207">
        <f t="shared" si="2"/>
        <v>7.077632822321021</v>
      </c>
      <c r="H22" s="211">
        <f t="shared" si="3"/>
        <v>7.077632822321021</v>
      </c>
    </row>
    <row r="23" spans="1:8" ht="13.5" thickBot="1">
      <c r="A23" s="140" t="s">
        <v>112</v>
      </c>
      <c r="B23" s="206">
        <v>170</v>
      </c>
      <c r="C23" s="212"/>
      <c r="D23" s="212">
        <v>2154374</v>
      </c>
      <c r="E23" s="212">
        <f t="shared" si="0"/>
        <v>2154374</v>
      </c>
      <c r="F23" s="213">
        <f t="shared" si="1"/>
        <v>0</v>
      </c>
      <c r="G23" s="213">
        <f t="shared" si="2"/>
        <v>0.23830439166933012</v>
      </c>
      <c r="H23" s="214">
        <f t="shared" si="3"/>
        <v>0.23830439166933012</v>
      </c>
    </row>
  </sheetData>
  <mergeCells count="8">
    <mergeCell ref="E4:E5"/>
    <mergeCell ref="F4:G4"/>
    <mergeCell ref="H4:H5"/>
    <mergeCell ref="A3:D3"/>
    <mergeCell ref="A4:A5"/>
    <mergeCell ref="B4:B5"/>
    <mergeCell ref="C4:C5"/>
    <mergeCell ref="D4:D5"/>
  </mergeCells>
  <printOptions/>
  <pageMargins left="0.83" right="0.56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D52"/>
  <sheetViews>
    <sheetView workbookViewId="0" topLeftCell="A40">
      <selection activeCell="A1" sqref="A1"/>
      <selection activeCell="A45" sqref="A45"/>
    </sheetView>
  </sheetViews>
  <sheetFormatPr defaultColWidth="9.00390625" defaultRowHeight="12.75"/>
  <cols>
    <col min="1" max="1" width="17.125" style="0" customWidth="1"/>
    <col min="2" max="2" width="39.50390625" style="0" customWidth="1"/>
    <col min="3" max="3" width="15.375" style="2" customWidth="1"/>
    <col min="4" max="4" width="15.125" style="2" customWidth="1"/>
  </cols>
  <sheetData>
    <row r="1" spans="1:4" ht="15">
      <c r="A1" s="177" t="s">
        <v>299</v>
      </c>
      <c r="B1" s="186"/>
      <c r="C1" s="186"/>
      <c r="D1" s="186"/>
    </row>
    <row r="2" ht="13.5" thickBot="1"/>
    <row r="3" spans="1:4" ht="14.25" thickBot="1">
      <c r="A3" s="60"/>
      <c r="B3" s="56" t="s">
        <v>300</v>
      </c>
      <c r="C3" s="49" t="s">
        <v>367</v>
      </c>
      <c r="D3" s="56" t="s">
        <v>368</v>
      </c>
    </row>
    <row r="4" spans="1:4" ht="21">
      <c r="A4" s="9" t="s">
        <v>359</v>
      </c>
      <c r="B4" s="155" t="s">
        <v>301</v>
      </c>
      <c r="C4" s="61">
        <f>Форма1!C70</f>
        <v>831178165</v>
      </c>
      <c r="D4" s="61">
        <f>Форма1!D70</f>
        <v>719594485</v>
      </c>
    </row>
    <row r="5" spans="1:4" ht="12.75">
      <c r="A5" s="9" t="s">
        <v>360</v>
      </c>
      <c r="B5" s="155" t="s">
        <v>369</v>
      </c>
      <c r="C5" s="61">
        <f>Форма1!C11/Форма1!C70</f>
        <v>0.4815821840074444</v>
      </c>
      <c r="D5" s="61">
        <f>Форма1!D11/Форма1!D70</f>
        <v>0.3383648514204497</v>
      </c>
    </row>
    <row r="6" spans="1:4" ht="12.75">
      <c r="A6" s="53" t="s">
        <v>266</v>
      </c>
      <c r="B6" s="155" t="s">
        <v>302</v>
      </c>
      <c r="C6" s="61">
        <f>(Форма5!C76+Форма5!C77)/Форма5!C85</f>
        <v>0.4112036873769179</v>
      </c>
      <c r="D6" s="61">
        <f>(Форма5!F76+Форма5!F77)/Форма5!F85</f>
        <v>0.405070680754342</v>
      </c>
    </row>
    <row r="7" spans="1:4" ht="12.75">
      <c r="A7" s="10"/>
      <c r="B7" s="155" t="s">
        <v>303</v>
      </c>
      <c r="C7" s="61">
        <f>Форма5!D106/Форма5!F85</f>
        <v>0.23387854020118992</v>
      </c>
      <c r="D7" s="61"/>
    </row>
    <row r="8" spans="1:4" ht="12.75">
      <c r="A8" s="10"/>
      <c r="B8" s="155" t="s">
        <v>372</v>
      </c>
      <c r="C8" s="61">
        <f>Форма5!D109/(Форма5!F76+Форма5!F77)</f>
        <v>0.30448862830455875</v>
      </c>
      <c r="D8" s="61"/>
    </row>
    <row r="9" spans="1:4" ht="12.75">
      <c r="A9" s="10"/>
      <c r="B9" s="155" t="s">
        <v>304</v>
      </c>
      <c r="C9" s="61">
        <f>Форма5!D85/Форма5!F85</f>
        <v>0.028715581947772826</v>
      </c>
      <c r="D9" s="61"/>
    </row>
    <row r="10" spans="1:4" ht="13.5" thickBot="1">
      <c r="A10" s="40"/>
      <c r="B10" s="155" t="s">
        <v>305</v>
      </c>
      <c r="C10" s="61">
        <f>Форма5!E85/Форма5!C85</f>
        <v>0.02942223402528529</v>
      </c>
      <c r="D10" s="61"/>
    </row>
    <row r="11" spans="1:4" ht="12.75" hidden="1">
      <c r="A11" s="10"/>
      <c r="B11" s="155"/>
      <c r="C11" s="61"/>
      <c r="D11" s="61"/>
    </row>
    <row r="12" spans="1:4" ht="12.75">
      <c r="A12" s="9" t="s">
        <v>361</v>
      </c>
      <c r="B12" s="155" t="s">
        <v>343</v>
      </c>
      <c r="C12" s="61">
        <f>Форма1!C86+Форма1!C93-Форма1!C24-Форма1!C37</f>
        <v>44085552</v>
      </c>
      <c r="D12" s="61">
        <f>Форма1!D86+Форма1!D93-Форма1!D24-Форма1!D37</f>
        <v>80052654</v>
      </c>
    </row>
    <row r="13" spans="1:4" ht="12.75">
      <c r="A13" s="59" t="s">
        <v>362</v>
      </c>
      <c r="B13" s="155" t="s">
        <v>306</v>
      </c>
      <c r="C13" s="61">
        <f>Форма1!C58/(Форма1!C65-Форма1!C55-Форма1!C49-Форма1!C37-Форма1!C115)</f>
        <v>0.006640474865779156</v>
      </c>
      <c r="D13" s="61">
        <f>Форма1!D58/(Форма1!D65-Форма1!D55-Форма1!D49-Форма1!D37-Форма1!D115)</f>
        <v>0.16021438839491817</v>
      </c>
    </row>
    <row r="14" spans="1:4" ht="12.75">
      <c r="A14" s="10"/>
      <c r="B14" s="155" t="s">
        <v>307</v>
      </c>
      <c r="C14" s="61">
        <f>(Форма1!C65-Форма1!C55-Форма1!C49-Форма1!C37)/Форма1!C115</f>
        <v>1.121296652323924</v>
      </c>
      <c r="D14" s="61">
        <f>(Форма1!D65-Форма1!D55-Форма1!D49-Форма1!D37)/Форма1!D115</f>
        <v>1.2115855774402795</v>
      </c>
    </row>
    <row r="15" spans="1:4" ht="12.75">
      <c r="A15" s="10"/>
      <c r="B15" s="155" t="s">
        <v>308</v>
      </c>
      <c r="C15" s="61">
        <f>(Форма1!C65-Форма1!C55-Форма1!C49-Форма1!C26-Форма1!C36-Форма1!C37)/Форма1!C115</f>
        <v>0.41063265794528286</v>
      </c>
      <c r="D15" s="61">
        <f>(Форма1!D65-Форма1!D55-Форма1!D49-Форма1!D26-Форма1!D36-Форма1!D37)/Форма1!D115</f>
        <v>0.5084200959840356</v>
      </c>
    </row>
    <row r="16" spans="1:4" ht="21">
      <c r="A16" s="10"/>
      <c r="B16" s="155" t="s">
        <v>370</v>
      </c>
      <c r="C16" s="61">
        <f>Форма1!C58/Форма1!C115</f>
        <v>0.0008054673710601708</v>
      </c>
      <c r="D16" s="61">
        <f>Форма1!D58/Форма1!D115</f>
        <v>0.033899053882779966</v>
      </c>
    </row>
    <row r="17" spans="1:4" ht="12.75">
      <c r="A17" s="10"/>
      <c r="B17" s="155" t="s">
        <v>309</v>
      </c>
      <c r="C17" s="61">
        <f>(Форма1!C65-Форма1!C55-Форма1!C49-Форма1!C37)/(Форма1!C70-Форма1!C69-Форма1!C55-Форма1!C49)</f>
        <v>0.4903135190034738</v>
      </c>
      <c r="D17" s="61">
        <f>(Форма1!D65-Форма1!D55-Форма1!D49-Форма1!D37)/(Форма1!D70-Форма1!D69-Форма1!D55-Форма1!D49)</f>
        <v>0.6370242164932657</v>
      </c>
    </row>
    <row r="18" spans="1:4" ht="12.75">
      <c r="A18" s="10"/>
      <c r="B18" s="155" t="s">
        <v>310</v>
      </c>
      <c r="C18" s="61">
        <f>(Форма1!C65-Форма1!C55-Форма1!C49-Форма1!C37-Форма1!C115)/(Форма1!C65-Форма1!C55-Форма1!C49-Форма1!C37)</f>
        <v>0.10817534509938366</v>
      </c>
      <c r="D18" s="61">
        <f>(Форма1!D65-Форма1!D55-Форма1!D49-Форма1!D37-Форма1!D115)/(Форма1!D65-Форма1!D55-Форма1!D49-Форма1!D37)</f>
        <v>0.1746352724727022</v>
      </c>
    </row>
    <row r="19" spans="1:4" ht="12.75">
      <c r="A19" s="10"/>
      <c r="B19" s="155" t="s">
        <v>311</v>
      </c>
      <c r="C19" s="61">
        <f>(Форма1!C26+Форма1!C36)/(Форма1!C65-Форма1!C37)</f>
        <v>0.6337876715370252</v>
      </c>
      <c r="D19" s="61">
        <f>(Форма1!D26+Форма1!D36)/(Форма1!D65-Форма1!D37)</f>
        <v>0.5803679860087338</v>
      </c>
    </row>
    <row r="20" spans="1:4" ht="12.75">
      <c r="A20" s="10"/>
      <c r="B20" s="155" t="s">
        <v>312</v>
      </c>
      <c r="C20" s="61">
        <f>(Форма1!C65-Форма1!C55-Форма1!C49-Форма1!C37-Форма1!C115)/(Форма1!C26+Форма1!C36)</f>
        <v>0.1706807341913784</v>
      </c>
      <c r="D20" s="61">
        <f>(Форма1!D65-Форма1!D55-Форма1!D49-Форма1!D37-Форма1!D115)/(Форма1!D26+Форма1!D36)</f>
        <v>0.3009043859805081</v>
      </c>
    </row>
    <row r="21" spans="1:4" ht="13.5" thickBot="1">
      <c r="A21" s="40"/>
      <c r="B21" s="155" t="s">
        <v>313</v>
      </c>
      <c r="C21" s="61">
        <f>(Форма1!C86-Форма1!C69-Форма1!C55-Форма1!C49+Форма1!C93-Форма1!C24-Форма1!C37-Форма1!C95+Форма1!C101+Форма1!C102+Форма1!C107)/(Форма1!C26+Форма1!C36)</f>
        <v>0.8469563638998704</v>
      </c>
      <c r="D21" s="61">
        <f>(Форма1!D86-Форма1!D69-Форма1!D55-Форма1!D49+Форма1!D93-Форма1!D24-Форма1!D37-Форма1!D95+Форма1!D101+Форма1!D102+Форма1!D107)/(Форма1!D26+Форма1!D36)</f>
        <v>0.7220305076485254</v>
      </c>
    </row>
    <row r="22" spans="1:4" ht="12.75" hidden="1">
      <c r="A22" s="10"/>
      <c r="B22" s="155"/>
      <c r="C22" s="61"/>
      <c r="D22" s="61"/>
    </row>
    <row r="23" spans="1:4" ht="12.75">
      <c r="A23" s="9" t="s">
        <v>363</v>
      </c>
      <c r="B23" s="155" t="s">
        <v>314</v>
      </c>
      <c r="C23" s="61">
        <f>(Форма1!C86-Форма1!C69-Форма1!C55-Форма1!C49)/(Форма1!C70-Форма1!C69-Форма1!C55-Форма1!C49)</f>
        <v>0.5623742353722683</v>
      </c>
      <c r="D23" s="61">
        <f>(Форма1!D86-Форма1!D69-Форма1!D55-Форма1!D49)/(Форма1!D70-Форма1!D69-Форма1!D55-Форма1!D49)</f>
        <v>0.47421901100312075</v>
      </c>
    </row>
    <row r="24" spans="1:4" ht="12.75">
      <c r="A24" s="9" t="s">
        <v>364</v>
      </c>
      <c r="B24" s="155" t="s">
        <v>316</v>
      </c>
      <c r="C24" s="61">
        <f>1/C23</f>
        <v>1.778175344996098</v>
      </c>
      <c r="D24" s="61">
        <f>1/D23</f>
        <v>2.1087303056127777</v>
      </c>
    </row>
    <row r="25" spans="1:4" ht="12.75">
      <c r="A25" s="52" t="s">
        <v>315</v>
      </c>
      <c r="B25" s="155" t="s">
        <v>317</v>
      </c>
      <c r="C25" s="61">
        <f>(Форма1!C65-Форма1!C55-Форма1!C49-Форма1!C37-Форма1!C115)/(Форма1!C86-Форма1!C69-Форма1!C55-Форма1!C49)</f>
        <v>0.09431412534392482</v>
      </c>
      <c r="D25" s="61">
        <f>(Форма1!D65-Форма1!D55-Форма1!D49-Форма1!D37-Форма1!D115)/(Форма1!D86-Форма1!D69-Форма1!D55-Форма1!D49)</f>
        <v>0.2345897044146106</v>
      </c>
    </row>
    <row r="26" spans="1:4" ht="12.75">
      <c r="A26" s="10"/>
      <c r="B26" s="155" t="s">
        <v>318</v>
      </c>
      <c r="C26" s="61">
        <f>(Форма1!C93+Форма1!C115)/(Форма1!C70-Форма1!C69-Форма1!C55-Форма1!C49)</f>
        <v>0.4376257646277318</v>
      </c>
      <c r="D26" s="61">
        <f>(Форма1!D93+Форма1!D115)/(Форма1!D70-Форма1!D69-Форма1!D55-Форма1!D49)</f>
        <v>0.5257809889968793</v>
      </c>
    </row>
    <row r="27" spans="1:4" ht="12.75">
      <c r="A27" s="10"/>
      <c r="B27" s="155" t="s">
        <v>319</v>
      </c>
      <c r="C27" s="61">
        <f>Форма1!C93/(Форма1!C37+Форма1!C24)</f>
        <v>0.000690777100196097</v>
      </c>
      <c r="D27" s="153">
        <f>Форма1!D93/(Форма1!D37+Форма1!D24)</f>
        <v>1.0111205186284847E-05</v>
      </c>
    </row>
    <row r="28" spans="1:4" ht="12.75">
      <c r="A28" s="10"/>
      <c r="B28" s="155" t="s">
        <v>320</v>
      </c>
      <c r="C28" s="61">
        <f>Форма1!C93/(Форма1!C86-Форма1!C69-Форма1!C55-Форма1!C49+Форма1!C93)</f>
        <v>0.0006256678244660367</v>
      </c>
      <c r="D28" s="153">
        <f>Форма1!D93/(Форма1!D86-Форма1!D69-Форма1!D55-Форма1!D49+Форма1!D93)</f>
        <v>7.73923890771459E-06</v>
      </c>
    </row>
    <row r="29" spans="1:4" ht="12.75">
      <c r="A29" s="10"/>
      <c r="B29" s="155" t="s">
        <v>321</v>
      </c>
      <c r="C29" s="61">
        <f>Форма1!C93/(Форма1!C93+Форма1!C115)</f>
        <v>0.0008045224431688377</v>
      </c>
      <c r="D29" s="153">
        <f>Форма1!D93/(Форма1!D93+Форма1!D115)</f>
        <v>6.980325841927469E-06</v>
      </c>
    </row>
    <row r="30" spans="1:4" ht="13.5" thickBot="1">
      <c r="A30" s="40"/>
      <c r="B30" s="155" t="s">
        <v>322</v>
      </c>
      <c r="C30" s="61">
        <f>(Форма1!C115+Форма1!C93)/(Форма1!C86-Форма1!C69-Форма1!C55-Форма1!C49)</f>
        <v>0.7781753449960982</v>
      </c>
      <c r="D30" s="61">
        <f>(Форма1!D115+Форма1!D93)/(Форма1!D86-Форма1!D69-Форма1!D55-Форма1!D49)</f>
        <v>1.1087303056127777</v>
      </c>
    </row>
    <row r="31" spans="1:4" ht="12.75" hidden="1">
      <c r="A31" s="10"/>
      <c r="B31" s="155"/>
      <c r="C31" s="61"/>
      <c r="D31" s="61"/>
    </row>
    <row r="32" spans="1:4" ht="12.75">
      <c r="A32" s="9" t="s">
        <v>359</v>
      </c>
      <c r="B32" s="155" t="s">
        <v>323</v>
      </c>
      <c r="C32" s="61">
        <f>Форма2!D6</f>
        <v>904042928</v>
      </c>
      <c r="D32" s="61">
        <f>Форма2!C6</f>
        <v>712452287</v>
      </c>
    </row>
    <row r="33" spans="1:4" ht="12.75">
      <c r="A33" s="9" t="s">
        <v>365</v>
      </c>
      <c r="B33" s="155" t="s">
        <v>325</v>
      </c>
      <c r="C33" s="61">
        <f>Форма2!D19-Форма2!D20</f>
        <v>66139213</v>
      </c>
      <c r="D33" s="61">
        <f>Форма2!C19-Форма2!C20</f>
        <v>6740235</v>
      </c>
    </row>
    <row r="34" spans="1:4" ht="12.75">
      <c r="A34" s="53" t="s">
        <v>324</v>
      </c>
      <c r="B34" s="155" t="s">
        <v>326</v>
      </c>
      <c r="C34" s="61">
        <f>Форма2!D6/Форма5!C147</f>
        <v>128597.8560455192</v>
      </c>
      <c r="D34" s="61">
        <f>Форма2!C6/Форма5!C147</f>
        <v>101344.56429587482</v>
      </c>
    </row>
    <row r="35" spans="1:4" ht="12.75">
      <c r="A35" s="10"/>
      <c r="B35" s="155" t="s">
        <v>327</v>
      </c>
      <c r="C35" s="61">
        <f>Форма2!D6/Форма1!C11</f>
        <v>2.2585229887086506</v>
      </c>
      <c r="D35" s="61">
        <f>Форма2!C6/Форма1!D11</f>
        <v>2.9260565520126436</v>
      </c>
    </row>
    <row r="36" spans="1:4" ht="12.75">
      <c r="A36" s="10"/>
      <c r="B36" s="155" t="s">
        <v>328</v>
      </c>
      <c r="C36" s="61">
        <f>Форма2!D6/Форма1!C44</f>
        <v>10.217410381969243</v>
      </c>
      <c r="D36" s="61">
        <f>Форма2!C6/Форма1!D44</f>
        <v>6.30167325184764</v>
      </c>
    </row>
    <row r="37" spans="1:4" ht="12.75">
      <c r="A37" s="10"/>
      <c r="B37" s="155" t="s">
        <v>329</v>
      </c>
      <c r="C37" s="61">
        <f>360/C36</f>
        <v>35.23397676531573</v>
      </c>
      <c r="D37" s="61">
        <f>360/D36</f>
        <v>57.1276842851934</v>
      </c>
    </row>
    <row r="38" spans="1:4" ht="12.75">
      <c r="A38" s="10"/>
      <c r="B38" s="155" t="s">
        <v>330</v>
      </c>
      <c r="C38" s="61">
        <f>Форма2!D7/(Форма1!C26+Форма1!C36)</f>
        <v>2.972050170827459</v>
      </c>
      <c r="D38" s="61">
        <f>Форма2!C7/(Форма1!D26+Форма1!D36)</f>
        <v>2.5117287588562283</v>
      </c>
    </row>
    <row r="39" spans="1:4" ht="12.75">
      <c r="A39" s="10"/>
      <c r="B39" s="155" t="s">
        <v>331</v>
      </c>
      <c r="C39" s="61">
        <f>360/C38</f>
        <v>121.12850702643796</v>
      </c>
      <c r="D39" s="61">
        <f>360/D38</f>
        <v>143.32757815932882</v>
      </c>
    </row>
    <row r="40" spans="1:4" ht="21">
      <c r="A40" s="10"/>
      <c r="B40" s="155" t="s">
        <v>371</v>
      </c>
      <c r="C40" s="61">
        <f>(Форма1!C97+Форма1!C101+Форма1!C102+Форма1!C107)/Форма2!D7</f>
        <v>0.30405659475743635</v>
      </c>
      <c r="D40" s="61">
        <f>(Форма1!D97+Форма1!D101+Форма1!D102+Форма1!D107)/Форма2!C7</f>
        <v>0.26908782176601265</v>
      </c>
    </row>
    <row r="41" spans="1:4" ht="12.75">
      <c r="A41" s="10"/>
      <c r="B41" s="155" t="s">
        <v>332</v>
      </c>
      <c r="C41" s="61">
        <f>C37+C39</f>
        <v>156.36248379175368</v>
      </c>
      <c r="D41" s="61">
        <f>D37+D39</f>
        <v>200.45526244452222</v>
      </c>
    </row>
    <row r="42" spans="1:4" ht="12.75">
      <c r="A42" s="10"/>
      <c r="B42" s="155" t="s">
        <v>333</v>
      </c>
      <c r="C42" s="61">
        <f>C41-C40</f>
        <v>156.05842719699623</v>
      </c>
      <c r="D42" s="61">
        <f>D41-D40</f>
        <v>200.1861746227562</v>
      </c>
    </row>
    <row r="43" spans="1:4" ht="12.75">
      <c r="A43" s="10"/>
      <c r="B43" s="155" t="s">
        <v>334</v>
      </c>
      <c r="C43" s="61">
        <f>1/C36</f>
        <v>0.09787215768143258</v>
      </c>
      <c r="D43" s="61">
        <f>1/D36</f>
        <v>0.158688011903315</v>
      </c>
    </row>
    <row r="44" spans="1:4" ht="12.75">
      <c r="A44" s="10"/>
      <c r="B44" s="155" t="s">
        <v>335</v>
      </c>
      <c r="C44" s="61">
        <f>Форма2!D6/(Форма1!C86-Форма1!C69-Форма1!C55-Форма1!C49)</f>
        <v>1.9340580793381197</v>
      </c>
      <c r="D44" s="61">
        <f>Форма2!C6/(Форма1!D86-Форма1!D69-Форма1!D55-Форма1!D49)</f>
        <v>2.087800504613418</v>
      </c>
    </row>
    <row r="45" spans="1:4" ht="13.5" thickBot="1">
      <c r="A45" s="40"/>
      <c r="B45" s="155" t="s">
        <v>336</v>
      </c>
      <c r="C45" s="61">
        <f>Форма2!D6/(Форма1!C70-Форма1!C69-Форма1!C55-Форма1!C49)</f>
        <v>1.0876644335333328</v>
      </c>
      <c r="D45" s="61">
        <f>Форма2!C6/(Форма1!D70-Форма1!D69-Форма1!D55-Форма1!D49)</f>
        <v>0.9900746904695914</v>
      </c>
    </row>
    <row r="46" spans="1:4" ht="12.75" hidden="1">
      <c r="A46" s="10"/>
      <c r="B46" s="155"/>
      <c r="C46" s="61"/>
      <c r="D46" s="61"/>
    </row>
    <row r="47" spans="1:4" ht="12.75">
      <c r="A47" s="9" t="s">
        <v>361</v>
      </c>
      <c r="B47" s="155" t="s">
        <v>337</v>
      </c>
      <c r="C47" s="61">
        <f>Форма2!D19-Форма2!D20</f>
        <v>66139213</v>
      </c>
      <c r="D47" s="61">
        <f>Форма2!C19-Форма2!C20</f>
        <v>6740235</v>
      </c>
    </row>
    <row r="48" spans="1:4" ht="12.75">
      <c r="A48" s="9" t="s">
        <v>366</v>
      </c>
      <c r="B48" s="155" t="s">
        <v>338</v>
      </c>
      <c r="C48" s="61">
        <f>Форма2!D10/Форма2!D6</f>
        <v>0.14166134155080742</v>
      </c>
      <c r="D48" s="61">
        <f>Форма2!C10/Форма2!C6</f>
        <v>0.04630891303462122</v>
      </c>
    </row>
    <row r="49" spans="1:4" ht="12.75">
      <c r="A49" s="10"/>
      <c r="B49" s="155" t="s">
        <v>339</v>
      </c>
      <c r="C49" s="61">
        <f>Форма2!D10/(Форма2!D7+Форма2!D8+Форма2!D9)</f>
        <v>0.16504131575147124</v>
      </c>
      <c r="D49" s="61">
        <f>Форма2!C10/(Форма2!C7+Форма2!C8+Форма2!C9)</f>
        <v>0.04855756089948898</v>
      </c>
    </row>
    <row r="50" spans="1:4" ht="21">
      <c r="A50" s="10"/>
      <c r="B50" s="155" t="s">
        <v>340</v>
      </c>
      <c r="C50" s="61">
        <f>(Форма2!D19-Форма2!D20)/(Форма1!C70-Форма1!C69-Форма1!C55-Форма1!C49)</f>
        <v>0.07957284705620245</v>
      </c>
      <c r="D50" s="61">
        <f>(Форма2!C19-Форма2!C20)/(Форма1!D70-Форма1!D69-Форма1!D55-Форма1!D49)</f>
        <v>0.009366712975850558</v>
      </c>
    </row>
    <row r="51" spans="1:4" ht="12.75">
      <c r="A51" s="10"/>
      <c r="B51" s="155" t="s">
        <v>341</v>
      </c>
      <c r="C51" s="61">
        <f>(Форма2!D19-Форма2!D20)/(Форма1!C86-Форма1!C69-Форма1!C55-Форма1!C49)</f>
        <v>0.14149447476648455</v>
      </c>
      <c r="D51" s="61">
        <f>(Форма2!C19-Форма2!C20)/(Форма1!D86-Форма1!D69-Форма1!D55-Форма1!D49)</f>
        <v>0.019751871516152517</v>
      </c>
    </row>
    <row r="52" spans="1:4" ht="13.5" thickBot="1">
      <c r="A52" s="40"/>
      <c r="B52" s="155" t="s">
        <v>342</v>
      </c>
      <c r="C52" s="61">
        <f>(Форма1!C86-Форма1!C69-Форма1!C55-Форма1!C49)/(Форма2!D19-Форма2!D20)</f>
        <v>7.06741377463926</v>
      </c>
      <c r="D52" s="61">
        <f>(Форма1!D86-Форма1!D69-Форма1!D55-Форма1!D49)/(Форма2!C19-Форма2!C20)</f>
        <v>50.62811385656435</v>
      </c>
    </row>
  </sheetData>
  <mergeCells count="1">
    <mergeCell ref="A1:D1"/>
  </mergeCells>
  <printOptions/>
  <pageMargins left="0.7874015748031497" right="0.59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49"/>
  <sheetViews>
    <sheetView workbookViewId="0" topLeftCell="A26">
      <selection activeCell="A1" sqref="A1"/>
      <selection activeCell="A39" sqref="A39"/>
    </sheetView>
  </sheetViews>
  <sheetFormatPr defaultColWidth="9.00390625" defaultRowHeight="12.75"/>
  <cols>
    <col min="1" max="1" width="51.50390625" style="67" customWidth="1"/>
    <col min="2" max="2" width="8.875" style="67" customWidth="1"/>
    <col min="3" max="3" width="15.75390625" style="67" customWidth="1"/>
    <col min="4" max="4" width="10.75390625" style="67" customWidth="1"/>
    <col min="5" max="5" width="15.75390625" style="67" customWidth="1"/>
    <col min="6" max="6" width="10.75390625" style="67" customWidth="1"/>
    <col min="7" max="7" width="15.75390625" style="67" customWidth="1"/>
    <col min="8" max="8" width="10.75390625" style="70" customWidth="1"/>
    <col min="9" max="16384" width="8.875" style="67" customWidth="1"/>
  </cols>
  <sheetData>
    <row r="1" ht="12.75">
      <c r="A1" s="67" t="s">
        <v>383</v>
      </c>
    </row>
    <row r="2" spans="1:8" s="157" customFormat="1" ht="15">
      <c r="A2" s="157" t="s">
        <v>384</v>
      </c>
      <c r="H2" s="159"/>
    </row>
    <row r="3" ht="13.5" thickBot="1"/>
    <row r="4" spans="1:8" ht="12.75">
      <c r="A4" s="189" t="s">
        <v>385</v>
      </c>
      <c r="B4" s="165" t="s">
        <v>1</v>
      </c>
      <c r="C4" s="166" t="s">
        <v>374</v>
      </c>
      <c r="D4" s="167"/>
      <c r="E4" s="166" t="s">
        <v>375</v>
      </c>
      <c r="F4" s="167"/>
      <c r="G4" s="163" t="s">
        <v>379</v>
      </c>
      <c r="H4" s="164"/>
    </row>
    <row r="5" spans="1:8" ht="13.5" thickBot="1">
      <c r="A5" s="190"/>
      <c r="B5" s="191"/>
      <c r="C5" s="192" t="s">
        <v>378</v>
      </c>
      <c r="D5" s="193" t="s">
        <v>376</v>
      </c>
      <c r="E5" s="192" t="s">
        <v>378</v>
      </c>
      <c r="F5" s="193" t="s">
        <v>376</v>
      </c>
      <c r="G5" s="192" t="s">
        <v>378</v>
      </c>
      <c r="H5" s="194" t="s">
        <v>261</v>
      </c>
    </row>
    <row r="6" spans="1:8" ht="13.5" thickBot="1">
      <c r="A6" s="87">
        <v>1</v>
      </c>
      <c r="B6" s="87">
        <v>2</v>
      </c>
      <c r="C6" s="88">
        <v>3</v>
      </c>
      <c r="D6" s="90">
        <v>4</v>
      </c>
      <c r="E6" s="88">
        <v>5</v>
      </c>
      <c r="F6" s="90">
        <v>6</v>
      </c>
      <c r="G6" s="88">
        <v>7</v>
      </c>
      <c r="H6" s="90">
        <v>8</v>
      </c>
    </row>
    <row r="7" spans="1:8" ht="12.75">
      <c r="A7" s="83" t="s">
        <v>57</v>
      </c>
      <c r="B7" s="195"/>
      <c r="C7" s="196"/>
      <c r="D7" s="74" t="s">
        <v>372</v>
      </c>
      <c r="E7" s="196"/>
      <c r="F7" s="74" t="s">
        <v>372</v>
      </c>
      <c r="G7" s="73" t="s">
        <v>372</v>
      </c>
      <c r="H7" s="74" t="s">
        <v>372</v>
      </c>
    </row>
    <row r="8" spans="1:8" ht="12.75">
      <c r="A8" s="76" t="s">
        <v>58</v>
      </c>
      <c r="B8" s="77">
        <v>410</v>
      </c>
      <c r="C8" s="71">
        <v>249605</v>
      </c>
      <c r="D8" s="72">
        <f aca="true" t="shared" si="0" ref="D8:D49">C8/$C$49*100</f>
        <v>0.030030264329669924</v>
      </c>
      <c r="E8" s="71">
        <v>249605</v>
      </c>
      <c r="F8" s="72">
        <f aca="true" t="shared" si="1" ref="F8:F49">E8/$E$49*100</f>
        <v>0.034686897301610085</v>
      </c>
      <c r="G8" s="71">
        <f aca="true" t="shared" si="2" ref="G8:G49">E8-C8</f>
        <v>0</v>
      </c>
      <c r="H8" s="72">
        <f aca="true" t="shared" si="3" ref="H8:H49">E8/C8*100</f>
        <v>100</v>
      </c>
    </row>
    <row r="9" spans="1:8" ht="12.75">
      <c r="A9" s="76" t="s">
        <v>59</v>
      </c>
      <c r="B9" s="77">
        <v>420</v>
      </c>
      <c r="C9" s="71">
        <v>309196958</v>
      </c>
      <c r="D9" s="72">
        <f t="shared" si="0"/>
        <v>37.19984126387632</v>
      </c>
      <c r="E9" s="71">
        <v>320549228</v>
      </c>
      <c r="F9" s="72">
        <f t="shared" si="1"/>
        <v>44.54581499467717</v>
      </c>
      <c r="G9" s="71">
        <f t="shared" si="2"/>
        <v>11352270</v>
      </c>
      <c r="H9" s="72">
        <f t="shared" si="3"/>
        <v>103.67153353429823</v>
      </c>
    </row>
    <row r="10" spans="1:8" ht="12.75">
      <c r="A10" s="76" t="s">
        <v>60</v>
      </c>
      <c r="B10" s="77">
        <v>430</v>
      </c>
      <c r="C10" s="71">
        <v>62401</v>
      </c>
      <c r="D10" s="72">
        <f t="shared" si="0"/>
        <v>0.007507536004630247</v>
      </c>
      <c r="E10" s="71">
        <v>62401</v>
      </c>
      <c r="F10" s="72">
        <f t="shared" si="1"/>
        <v>0.008671689583613194</v>
      </c>
      <c r="G10" s="71">
        <f t="shared" si="2"/>
        <v>0</v>
      </c>
      <c r="H10" s="72">
        <f t="shared" si="3"/>
        <v>100</v>
      </c>
    </row>
    <row r="11" spans="1:8" ht="12.75">
      <c r="A11" s="76" t="s">
        <v>61</v>
      </c>
      <c r="B11" s="77"/>
      <c r="C11" s="71"/>
      <c r="D11" s="72" t="s">
        <v>372</v>
      </c>
      <c r="E11" s="71"/>
      <c r="F11" s="72" t="s">
        <v>372</v>
      </c>
      <c r="G11" s="71" t="s">
        <v>372</v>
      </c>
      <c r="H11" s="72" t="s">
        <v>372</v>
      </c>
    </row>
    <row r="12" spans="1:8" ht="12.75">
      <c r="A12" s="76" t="s">
        <v>62</v>
      </c>
      <c r="B12" s="77">
        <v>431</v>
      </c>
      <c r="C12" s="71"/>
      <c r="D12" s="72" t="s">
        <v>372</v>
      </c>
      <c r="E12" s="71"/>
      <c r="F12" s="72" t="s">
        <v>372</v>
      </c>
      <c r="G12" s="71" t="s">
        <v>372</v>
      </c>
      <c r="H12" s="72" t="s">
        <v>372</v>
      </c>
    </row>
    <row r="13" spans="1:8" ht="12.75">
      <c r="A13" s="76" t="s">
        <v>63</v>
      </c>
      <c r="B13" s="77">
        <v>432</v>
      </c>
      <c r="C13" s="71">
        <v>62401</v>
      </c>
      <c r="D13" s="72">
        <f t="shared" si="0"/>
        <v>0.007507536004630247</v>
      </c>
      <c r="E13" s="71">
        <v>62401</v>
      </c>
      <c r="F13" s="72">
        <f t="shared" si="1"/>
        <v>0.008671689583613194</v>
      </c>
      <c r="G13" s="71">
        <f t="shared" si="2"/>
        <v>0</v>
      </c>
      <c r="H13" s="72">
        <f t="shared" si="3"/>
        <v>100</v>
      </c>
    </row>
    <row r="14" spans="1:8" ht="12.75">
      <c r="A14" s="76" t="s">
        <v>64</v>
      </c>
      <c r="B14" s="77">
        <v>440</v>
      </c>
      <c r="C14" s="71"/>
      <c r="D14" s="72" t="s">
        <v>372</v>
      </c>
      <c r="E14" s="71"/>
      <c r="F14" s="72" t="s">
        <v>372</v>
      </c>
      <c r="G14" s="71" t="s">
        <v>372</v>
      </c>
      <c r="H14" s="72" t="s">
        <v>372</v>
      </c>
    </row>
    <row r="15" spans="1:8" ht="12.75">
      <c r="A15" s="76" t="s">
        <v>65</v>
      </c>
      <c r="B15" s="77">
        <v>450</v>
      </c>
      <c r="C15" s="71">
        <v>157057902</v>
      </c>
      <c r="D15" s="72">
        <f t="shared" si="0"/>
        <v>18.895816638782854</v>
      </c>
      <c r="E15" s="71">
        <v>6577326</v>
      </c>
      <c r="F15" s="72">
        <f t="shared" si="1"/>
        <v>0.9140322969540269</v>
      </c>
      <c r="G15" s="71">
        <f t="shared" si="2"/>
        <v>-150480576</v>
      </c>
      <c r="H15" s="72">
        <f t="shared" si="3"/>
        <v>4.187835133567491</v>
      </c>
    </row>
    <row r="16" spans="1:8" ht="12.75">
      <c r="A16" s="76" t="s">
        <v>66</v>
      </c>
      <c r="B16" s="77">
        <v>460</v>
      </c>
      <c r="C16" s="71">
        <v>866319</v>
      </c>
      <c r="D16" s="72">
        <f t="shared" si="0"/>
        <v>0.10422783423334997</v>
      </c>
      <c r="E16" s="71">
        <v>11652451</v>
      </c>
      <c r="F16" s="72">
        <f t="shared" si="1"/>
        <v>1.6193079912223063</v>
      </c>
      <c r="G16" s="71">
        <f t="shared" si="2"/>
        <v>10786132</v>
      </c>
      <c r="H16" s="72">
        <f t="shared" si="3"/>
        <v>1345.053150167548</v>
      </c>
    </row>
    <row r="17" spans="1:8" ht="12.75">
      <c r="A17" s="76" t="s">
        <v>67</v>
      </c>
      <c r="B17" s="77">
        <v>470</v>
      </c>
      <c r="C17" s="71"/>
      <c r="D17" s="72" t="s">
        <v>372</v>
      </c>
      <c r="E17" s="71"/>
      <c r="F17" s="72" t="s">
        <v>372</v>
      </c>
      <c r="G17" s="71" t="s">
        <v>372</v>
      </c>
      <c r="H17" s="72" t="s">
        <v>372</v>
      </c>
    </row>
    <row r="18" spans="1:8" ht="12.75">
      <c r="A18" s="76" t="s">
        <v>68</v>
      </c>
      <c r="B18" s="77">
        <v>480</v>
      </c>
      <c r="C18" s="71"/>
      <c r="D18" s="72" t="s">
        <v>372</v>
      </c>
      <c r="E18" s="71">
        <v>2154374</v>
      </c>
      <c r="F18" s="72">
        <f t="shared" si="1"/>
        <v>0.2993872305733416</v>
      </c>
      <c r="G18" s="71">
        <f t="shared" si="2"/>
        <v>2154374</v>
      </c>
      <c r="H18" s="72" t="s">
        <v>372</v>
      </c>
    </row>
    <row r="19" spans="1:8" ht="12.75">
      <c r="A19" s="76" t="s">
        <v>69</v>
      </c>
      <c r="B19" s="77">
        <v>490</v>
      </c>
      <c r="C19" s="71">
        <v>467433185</v>
      </c>
      <c r="D19" s="72">
        <f t="shared" si="0"/>
        <v>56.237423537226825</v>
      </c>
      <c r="E19" s="71">
        <v>341245385</v>
      </c>
      <c r="F19" s="72">
        <f t="shared" si="1"/>
        <v>47.42190110031208</v>
      </c>
      <c r="G19" s="71">
        <f t="shared" si="2"/>
        <v>-126187800</v>
      </c>
      <c r="H19" s="72">
        <f t="shared" si="3"/>
        <v>73.00409897085078</v>
      </c>
    </row>
    <row r="20" spans="1:8" ht="12.75">
      <c r="A20" s="76" t="s">
        <v>70</v>
      </c>
      <c r="B20" s="77"/>
      <c r="C20" s="71"/>
      <c r="D20" s="72" t="s">
        <v>372</v>
      </c>
      <c r="E20" s="71"/>
      <c r="F20" s="72" t="s">
        <v>372</v>
      </c>
      <c r="G20" s="71" t="s">
        <v>372</v>
      </c>
      <c r="H20" s="72" t="s">
        <v>372</v>
      </c>
    </row>
    <row r="21" spans="1:8" ht="12.75">
      <c r="A21" s="76" t="s">
        <v>71</v>
      </c>
      <c r="B21" s="77">
        <v>510</v>
      </c>
      <c r="C21" s="71">
        <v>290000</v>
      </c>
      <c r="D21" s="72">
        <f t="shared" si="0"/>
        <v>0.03489023319085867</v>
      </c>
      <c r="E21" s="71"/>
      <c r="F21" s="72" t="s">
        <v>372</v>
      </c>
      <c r="G21" s="71">
        <f t="shared" si="2"/>
        <v>-290000</v>
      </c>
      <c r="H21" s="72">
        <f t="shared" si="3"/>
        <v>0</v>
      </c>
    </row>
    <row r="22" spans="1:8" ht="12.75">
      <c r="A22" s="76" t="s">
        <v>61</v>
      </c>
      <c r="B22" s="77"/>
      <c r="C22" s="71"/>
      <c r="D22" s="72" t="s">
        <v>372</v>
      </c>
      <c r="E22" s="71"/>
      <c r="F22" s="72" t="s">
        <v>372</v>
      </c>
      <c r="G22" s="71" t="s">
        <v>372</v>
      </c>
      <c r="H22" s="72" t="s">
        <v>372</v>
      </c>
    </row>
    <row r="23" spans="1:8" ht="12.75">
      <c r="A23" s="76" t="s">
        <v>72</v>
      </c>
      <c r="B23" s="77">
        <v>511</v>
      </c>
      <c r="C23" s="71">
        <v>290000</v>
      </c>
      <c r="D23" s="72">
        <f t="shared" si="0"/>
        <v>0.03489023319085867</v>
      </c>
      <c r="E23" s="71"/>
      <c r="F23" s="72" t="s">
        <v>372</v>
      </c>
      <c r="G23" s="71">
        <f t="shared" si="2"/>
        <v>-290000</v>
      </c>
      <c r="H23" s="72">
        <f t="shared" si="3"/>
        <v>0</v>
      </c>
    </row>
    <row r="24" spans="1:8" ht="12.75">
      <c r="A24" s="76" t="s">
        <v>73</v>
      </c>
      <c r="B24" s="77">
        <v>512</v>
      </c>
      <c r="C24" s="71"/>
      <c r="D24" s="72" t="s">
        <v>372</v>
      </c>
      <c r="E24" s="71"/>
      <c r="F24" s="72" t="s">
        <v>372</v>
      </c>
      <c r="G24" s="71" t="s">
        <v>372</v>
      </c>
      <c r="H24" s="72" t="s">
        <v>372</v>
      </c>
    </row>
    <row r="25" spans="1:8" ht="12.75">
      <c r="A25" s="76" t="s">
        <v>74</v>
      </c>
      <c r="B25" s="77">
        <v>520</v>
      </c>
      <c r="C25" s="71">
        <v>2641</v>
      </c>
      <c r="D25" s="72">
        <f t="shared" si="0"/>
        <v>0.00031774174433468185</v>
      </c>
      <c r="E25" s="71">
        <v>2641</v>
      </c>
      <c r="F25" s="72">
        <f t="shared" si="1"/>
        <v>0.00036701226246890984</v>
      </c>
      <c r="G25" s="71">
        <f t="shared" si="2"/>
        <v>0</v>
      </c>
      <c r="H25" s="72">
        <f t="shared" si="3"/>
        <v>100</v>
      </c>
    </row>
    <row r="26" spans="1:8" ht="12.75">
      <c r="A26" s="76" t="s">
        <v>75</v>
      </c>
      <c r="B26" s="77">
        <v>590</v>
      </c>
      <c r="C26" s="71">
        <v>292641</v>
      </c>
      <c r="D26" s="72">
        <f t="shared" si="0"/>
        <v>0.03520797493519335</v>
      </c>
      <c r="E26" s="71">
        <v>2641</v>
      </c>
      <c r="F26" s="72">
        <f t="shared" si="1"/>
        <v>0.00036701226246890984</v>
      </c>
      <c r="G26" s="71">
        <f t="shared" si="2"/>
        <v>-290000</v>
      </c>
      <c r="H26" s="72">
        <f t="shared" si="3"/>
        <v>0.902470945629628</v>
      </c>
    </row>
    <row r="27" spans="1:8" ht="12.75">
      <c r="A27" s="76" t="s">
        <v>76</v>
      </c>
      <c r="B27" s="77"/>
      <c r="C27" s="71"/>
      <c r="D27" s="72" t="s">
        <v>372</v>
      </c>
      <c r="E27" s="71"/>
      <c r="F27" s="72" t="s">
        <v>372</v>
      </c>
      <c r="G27" s="71" t="s">
        <v>372</v>
      </c>
      <c r="H27" s="72" t="s">
        <v>372</v>
      </c>
    </row>
    <row r="28" spans="1:8" ht="12.75">
      <c r="A28" s="76" t="s">
        <v>71</v>
      </c>
      <c r="B28" s="77">
        <v>610</v>
      </c>
      <c r="C28" s="71">
        <v>29375585</v>
      </c>
      <c r="D28" s="72">
        <f t="shared" si="0"/>
        <v>3.534210381958241</v>
      </c>
      <c r="E28" s="71">
        <v>33886800</v>
      </c>
      <c r="F28" s="72">
        <f t="shared" si="1"/>
        <v>4.709152266501876</v>
      </c>
      <c r="G28" s="71">
        <f t="shared" si="2"/>
        <v>4511215</v>
      </c>
      <c r="H28" s="72">
        <f t="shared" si="3"/>
        <v>115.35702182611854</v>
      </c>
    </row>
    <row r="29" spans="1:8" ht="12.75">
      <c r="A29" s="76" t="s">
        <v>61</v>
      </c>
      <c r="B29" s="77"/>
      <c r="C29" s="71"/>
      <c r="D29" s="72" t="s">
        <v>372</v>
      </c>
      <c r="E29" s="71"/>
      <c r="F29" s="72" t="s">
        <v>372</v>
      </c>
      <c r="G29" s="71" t="s">
        <v>372</v>
      </c>
      <c r="H29" s="72" t="s">
        <v>372</v>
      </c>
    </row>
    <row r="30" spans="1:8" ht="12.75">
      <c r="A30" s="76" t="s">
        <v>77</v>
      </c>
      <c r="B30" s="77">
        <v>611</v>
      </c>
      <c r="C30" s="71">
        <v>29359049</v>
      </c>
      <c r="D30" s="72">
        <f t="shared" si="0"/>
        <v>3.532220916799469</v>
      </c>
      <c r="E30" s="71">
        <v>33886800</v>
      </c>
      <c r="F30" s="72">
        <f t="shared" si="1"/>
        <v>4.709152266501876</v>
      </c>
      <c r="G30" s="71">
        <f t="shared" si="2"/>
        <v>4527751</v>
      </c>
      <c r="H30" s="72">
        <f t="shared" si="3"/>
        <v>115.42199476556614</v>
      </c>
    </row>
    <row r="31" spans="1:8" ht="12.75">
      <c r="A31" s="76" t="s">
        <v>78</v>
      </c>
      <c r="B31" s="77">
        <v>612</v>
      </c>
      <c r="C31" s="71">
        <v>16536</v>
      </c>
      <c r="D31" s="72">
        <f t="shared" si="0"/>
        <v>0.001989465158772548</v>
      </c>
      <c r="E31" s="71"/>
      <c r="F31" s="72" t="s">
        <v>372</v>
      </c>
      <c r="G31" s="71">
        <f t="shared" si="2"/>
        <v>-16536</v>
      </c>
      <c r="H31" s="72">
        <f t="shared" si="3"/>
        <v>0</v>
      </c>
    </row>
    <row r="32" spans="1:8" ht="12.75">
      <c r="A32" s="76" t="s">
        <v>79</v>
      </c>
      <c r="B32" s="77">
        <v>620</v>
      </c>
      <c r="C32" s="71">
        <v>334031971</v>
      </c>
      <c r="D32" s="72">
        <f t="shared" si="0"/>
        <v>40.187770211697035</v>
      </c>
      <c r="E32" s="71">
        <v>344438146</v>
      </c>
      <c r="F32" s="72">
        <f t="shared" si="1"/>
        <v>47.86559002046826</v>
      </c>
      <c r="G32" s="71">
        <f t="shared" si="2"/>
        <v>10406175</v>
      </c>
      <c r="H32" s="72">
        <f t="shared" si="3"/>
        <v>103.1153230539121</v>
      </c>
    </row>
    <row r="33" spans="1:8" ht="12.75">
      <c r="A33" s="76" t="s">
        <v>61</v>
      </c>
      <c r="B33" s="77"/>
      <c r="C33" s="71"/>
      <c r="D33" s="72" t="s">
        <v>372</v>
      </c>
      <c r="E33" s="71"/>
      <c r="F33" s="72" t="s">
        <v>372</v>
      </c>
      <c r="G33" s="71" t="s">
        <v>372</v>
      </c>
      <c r="H33" s="72" t="s">
        <v>372</v>
      </c>
    </row>
    <row r="34" spans="1:8" ht="12.75">
      <c r="A34" s="76" t="s">
        <v>80</v>
      </c>
      <c r="B34" s="77">
        <v>621</v>
      </c>
      <c r="C34" s="71">
        <v>90572438</v>
      </c>
      <c r="D34" s="72">
        <f t="shared" si="0"/>
        <v>10.896874077533065</v>
      </c>
      <c r="E34" s="71">
        <v>94331861</v>
      </c>
      <c r="F34" s="72">
        <f t="shared" si="1"/>
        <v>13.10903056740353</v>
      </c>
      <c r="G34" s="71">
        <f t="shared" si="2"/>
        <v>3759423</v>
      </c>
      <c r="H34" s="72">
        <f t="shared" si="3"/>
        <v>104.15073623169997</v>
      </c>
    </row>
    <row r="35" spans="1:8" ht="12.75">
      <c r="A35" s="76" t="s">
        <v>81</v>
      </c>
      <c r="B35" s="77">
        <v>622</v>
      </c>
      <c r="C35" s="71"/>
      <c r="D35" s="72" t="s">
        <v>372</v>
      </c>
      <c r="E35" s="71">
        <v>1041354</v>
      </c>
      <c r="F35" s="72">
        <f t="shared" si="1"/>
        <v>0.14471400513860247</v>
      </c>
      <c r="G35" s="71">
        <f t="shared" si="2"/>
        <v>1041354</v>
      </c>
      <c r="H35" s="72" t="s">
        <v>372</v>
      </c>
    </row>
    <row r="36" spans="1:8" ht="13.5" thickBot="1">
      <c r="A36" s="76" t="s">
        <v>82</v>
      </c>
      <c r="B36" s="77">
        <v>623</v>
      </c>
      <c r="C36" s="71"/>
      <c r="D36" s="72" t="s">
        <v>372</v>
      </c>
      <c r="E36" s="71"/>
      <c r="F36" s="72" t="s">
        <v>372</v>
      </c>
      <c r="G36" s="71" t="s">
        <v>372</v>
      </c>
      <c r="H36" s="72" t="s">
        <v>372</v>
      </c>
    </row>
    <row r="37" spans="1:8" ht="13.5" thickBot="1">
      <c r="A37" s="87">
        <v>1</v>
      </c>
      <c r="B37" s="87">
        <v>2</v>
      </c>
      <c r="C37" s="88">
        <v>3</v>
      </c>
      <c r="D37" s="90">
        <v>4</v>
      </c>
      <c r="E37" s="88">
        <v>5</v>
      </c>
      <c r="F37" s="90">
        <v>6</v>
      </c>
      <c r="G37" s="88">
        <v>7</v>
      </c>
      <c r="H37" s="90">
        <v>8</v>
      </c>
    </row>
    <row r="38" spans="1:8" ht="12.75">
      <c r="A38" s="76" t="s">
        <v>83</v>
      </c>
      <c r="B38" s="77">
        <v>624</v>
      </c>
      <c r="C38" s="71">
        <v>10700420</v>
      </c>
      <c r="D38" s="72">
        <f t="shared" si="0"/>
        <v>1.287379824276303</v>
      </c>
      <c r="E38" s="71">
        <v>11273391</v>
      </c>
      <c r="F38" s="72">
        <f t="shared" si="1"/>
        <v>1.5666311005704832</v>
      </c>
      <c r="G38" s="71">
        <f t="shared" si="2"/>
        <v>572971</v>
      </c>
      <c r="H38" s="72">
        <f t="shared" si="3"/>
        <v>105.3546589760028</v>
      </c>
    </row>
    <row r="39" spans="1:8" ht="12.75">
      <c r="A39" s="76" t="s">
        <v>84</v>
      </c>
      <c r="B39" s="77">
        <v>625</v>
      </c>
      <c r="C39" s="71">
        <v>20352869</v>
      </c>
      <c r="D39" s="72">
        <f t="shared" si="0"/>
        <v>2.448677053493098</v>
      </c>
      <c r="E39" s="71">
        <v>48673123</v>
      </c>
      <c r="F39" s="72">
        <f t="shared" si="1"/>
        <v>6.76396554095325</v>
      </c>
      <c r="G39" s="71">
        <f t="shared" si="2"/>
        <v>28320254</v>
      </c>
      <c r="H39" s="72">
        <f t="shared" si="3"/>
        <v>239.14625009378284</v>
      </c>
    </row>
    <row r="40" spans="1:8" ht="12.75">
      <c r="A40" s="76" t="s">
        <v>85</v>
      </c>
      <c r="B40" s="77">
        <v>626</v>
      </c>
      <c r="C40" s="71">
        <v>53872269</v>
      </c>
      <c r="D40" s="72">
        <f t="shared" si="0"/>
        <v>6.481434579071263</v>
      </c>
      <c r="E40" s="71">
        <v>110163167</v>
      </c>
      <c r="F40" s="72">
        <f t="shared" si="1"/>
        <v>15.309062158807402</v>
      </c>
      <c r="G40" s="71">
        <f t="shared" si="2"/>
        <v>56290898</v>
      </c>
      <c r="H40" s="72">
        <f t="shared" si="3"/>
        <v>204.48956215302533</v>
      </c>
    </row>
    <row r="41" spans="1:8" ht="12.75">
      <c r="A41" s="76" t="s">
        <v>86</v>
      </c>
      <c r="B41" s="77">
        <v>627</v>
      </c>
      <c r="C41" s="71">
        <v>113480064</v>
      </c>
      <c r="D41" s="72">
        <f t="shared" si="0"/>
        <v>13.65291688094333</v>
      </c>
      <c r="E41" s="71">
        <v>50550050</v>
      </c>
      <c r="F41" s="72">
        <f t="shared" si="1"/>
        <v>7.024796750631017</v>
      </c>
      <c r="G41" s="71">
        <f t="shared" si="2"/>
        <v>-62930014</v>
      </c>
      <c r="H41" s="72">
        <f t="shared" si="3"/>
        <v>44.545313263129636</v>
      </c>
    </row>
    <row r="42" spans="1:8" ht="12.75">
      <c r="A42" s="76" t="s">
        <v>87</v>
      </c>
      <c r="B42" s="77">
        <v>628</v>
      </c>
      <c r="C42" s="71">
        <v>45053911</v>
      </c>
      <c r="D42" s="72">
        <f t="shared" si="0"/>
        <v>5.420487796379973</v>
      </c>
      <c r="E42" s="71">
        <v>28405200</v>
      </c>
      <c r="F42" s="72">
        <f t="shared" si="1"/>
        <v>3.947389896963983</v>
      </c>
      <c r="G42" s="71">
        <f t="shared" si="2"/>
        <v>-16648711</v>
      </c>
      <c r="H42" s="72">
        <f t="shared" si="3"/>
        <v>63.04713479813107</v>
      </c>
    </row>
    <row r="43" spans="1:8" ht="12.75">
      <c r="A43" s="76" t="s">
        <v>88</v>
      </c>
      <c r="B43" s="77">
        <v>630</v>
      </c>
      <c r="C43" s="71"/>
      <c r="D43" s="72" t="s">
        <v>372</v>
      </c>
      <c r="E43" s="71"/>
      <c r="F43" s="72" t="s">
        <v>372</v>
      </c>
      <c r="G43" s="71" t="s">
        <v>372</v>
      </c>
      <c r="H43" s="72" t="s">
        <v>372</v>
      </c>
    </row>
    <row r="44" spans="1:8" ht="12.75">
      <c r="A44" s="76" t="s">
        <v>89</v>
      </c>
      <c r="B44" s="77">
        <v>640</v>
      </c>
      <c r="C44" s="71">
        <v>20890</v>
      </c>
      <c r="D44" s="72">
        <f t="shared" si="0"/>
        <v>0.002513299901231164</v>
      </c>
      <c r="E44" s="71">
        <v>21513</v>
      </c>
      <c r="F44" s="72">
        <f t="shared" si="1"/>
        <v>0.0029896004553175526</v>
      </c>
      <c r="G44" s="71">
        <f t="shared" si="2"/>
        <v>623</v>
      </c>
      <c r="H44" s="72">
        <f t="shared" si="3"/>
        <v>102.98228817616084</v>
      </c>
    </row>
    <row r="45" spans="1:8" ht="12.75">
      <c r="A45" s="76" t="s">
        <v>90</v>
      </c>
      <c r="B45" s="77">
        <v>650</v>
      </c>
      <c r="C45" s="71"/>
      <c r="D45" s="72" t="s">
        <v>372</v>
      </c>
      <c r="E45" s="71"/>
      <c r="F45" s="72" t="s">
        <v>372</v>
      </c>
      <c r="G45" s="71" t="s">
        <v>372</v>
      </c>
      <c r="H45" s="72" t="s">
        <v>372</v>
      </c>
    </row>
    <row r="46" spans="1:8" ht="12.75">
      <c r="A46" s="76" t="s">
        <v>91</v>
      </c>
      <c r="B46" s="77">
        <v>660</v>
      </c>
      <c r="C46" s="71"/>
      <c r="D46" s="72" t="s">
        <v>372</v>
      </c>
      <c r="E46" s="71"/>
      <c r="F46" s="72" t="s">
        <v>372</v>
      </c>
      <c r="G46" s="71" t="s">
        <v>372</v>
      </c>
      <c r="H46" s="72" t="s">
        <v>372</v>
      </c>
    </row>
    <row r="47" spans="1:8" ht="12.75">
      <c r="A47" s="91" t="s">
        <v>92</v>
      </c>
      <c r="B47" s="92">
        <v>670</v>
      </c>
      <c r="C47" s="93">
        <v>23893</v>
      </c>
      <c r="D47" s="72">
        <f t="shared" si="0"/>
        <v>0.002874594281479952</v>
      </c>
      <c r="E47" s="71"/>
      <c r="F47" s="72" t="s">
        <v>372</v>
      </c>
      <c r="G47" s="71">
        <f t="shared" si="2"/>
        <v>-23893</v>
      </c>
      <c r="H47" s="72">
        <f t="shared" si="3"/>
        <v>0</v>
      </c>
    </row>
    <row r="48" spans="1:8" ht="13.5" thickBot="1">
      <c r="A48" s="91" t="s">
        <v>93</v>
      </c>
      <c r="B48" s="92">
        <v>690</v>
      </c>
      <c r="C48" s="93">
        <v>363452339</v>
      </c>
      <c r="D48" s="94">
        <f t="shared" si="0"/>
        <v>43.72736848783798</v>
      </c>
      <c r="E48" s="93">
        <v>378346459</v>
      </c>
      <c r="F48" s="94">
        <f t="shared" si="1"/>
        <v>52.57773188742546</v>
      </c>
      <c r="G48" s="93">
        <f t="shared" si="2"/>
        <v>14894120</v>
      </c>
      <c r="H48" s="94">
        <f t="shared" si="3"/>
        <v>104.09795684379955</v>
      </c>
    </row>
    <row r="49" spans="1:8" ht="13.5" thickBot="1">
      <c r="A49" s="97" t="s">
        <v>55</v>
      </c>
      <c r="B49" s="98">
        <v>699</v>
      </c>
      <c r="C49" s="99">
        <v>831178165</v>
      </c>
      <c r="D49" s="86">
        <f t="shared" si="0"/>
        <v>100</v>
      </c>
      <c r="E49" s="99">
        <v>719594485</v>
      </c>
      <c r="F49" s="86">
        <f t="shared" si="1"/>
        <v>100</v>
      </c>
      <c r="G49" s="85">
        <f t="shared" si="2"/>
        <v>-111583680</v>
      </c>
      <c r="H49" s="86">
        <f t="shared" si="3"/>
        <v>86.57523925691672</v>
      </c>
    </row>
  </sheetData>
  <mergeCells count="5">
    <mergeCell ref="G4:H4"/>
    <mergeCell ref="A4:A5"/>
    <mergeCell ref="B4:B5"/>
    <mergeCell ref="C4:D4"/>
    <mergeCell ref="E4:F4"/>
  </mergeCells>
  <printOptions/>
  <pageMargins left="0.51" right="0.35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71"/>
  <sheetViews>
    <sheetView workbookViewId="0" topLeftCell="A25">
      <selection activeCell="A1" sqref="A1"/>
      <selection activeCell="A37" sqref="A37:IV37"/>
    </sheetView>
  </sheetViews>
  <sheetFormatPr defaultColWidth="9.00390625" defaultRowHeight="12.75"/>
  <cols>
    <col min="1" max="1" width="45.875" style="67" customWidth="1"/>
    <col min="2" max="2" width="8.75390625" style="67" customWidth="1"/>
    <col min="3" max="3" width="15.75390625" style="68" customWidth="1"/>
    <col min="4" max="4" width="10.75390625" style="70" customWidth="1"/>
    <col min="5" max="5" width="15.75390625" style="68" customWidth="1"/>
    <col min="6" max="6" width="10.75390625" style="70" customWidth="1"/>
    <col min="7" max="7" width="15.75390625" style="70" customWidth="1"/>
    <col min="8" max="8" width="10.75390625" style="70" customWidth="1"/>
    <col min="9" max="16384" width="8.875" style="67" customWidth="1"/>
  </cols>
  <sheetData>
    <row r="1" ht="12.75">
      <c r="A1" s="67" t="s">
        <v>380</v>
      </c>
    </row>
    <row r="2" spans="1:8" s="157" customFormat="1" ht="15">
      <c r="A2" s="157" t="s">
        <v>381</v>
      </c>
      <c r="C2" s="158"/>
      <c r="D2" s="159"/>
      <c r="E2" s="158"/>
      <c r="F2" s="159"/>
      <c r="G2" s="159"/>
      <c r="H2" s="159"/>
    </row>
    <row r="3" spans="3:8" s="157" customFormat="1" ht="15.75" thickBot="1">
      <c r="C3" s="158"/>
      <c r="D3" s="159"/>
      <c r="E3" s="158"/>
      <c r="F3" s="159"/>
      <c r="G3" s="159"/>
      <c r="H3" s="159"/>
    </row>
    <row r="4" spans="1:8" ht="12.75">
      <c r="A4" s="170" t="s">
        <v>382</v>
      </c>
      <c r="B4" s="172" t="s">
        <v>1</v>
      </c>
      <c r="C4" s="168" t="s">
        <v>374</v>
      </c>
      <c r="D4" s="169"/>
      <c r="E4" s="168" t="s">
        <v>375</v>
      </c>
      <c r="F4" s="169"/>
      <c r="G4" s="163" t="s">
        <v>377</v>
      </c>
      <c r="H4" s="164"/>
    </row>
    <row r="5" spans="1:8" ht="13.5" thickBot="1">
      <c r="A5" s="171"/>
      <c r="B5" s="173"/>
      <c r="C5" s="78" t="s">
        <v>378</v>
      </c>
      <c r="D5" s="79" t="s">
        <v>376</v>
      </c>
      <c r="E5" s="78" t="s">
        <v>378</v>
      </c>
      <c r="F5" s="79" t="s">
        <v>376</v>
      </c>
      <c r="G5" s="80" t="s">
        <v>378</v>
      </c>
      <c r="H5" s="81" t="s">
        <v>261</v>
      </c>
    </row>
    <row r="6" spans="1:8" s="89" customFormat="1" ht="13.5" thickBot="1">
      <c r="A6" s="87">
        <v>1</v>
      </c>
      <c r="B6" s="87">
        <v>2</v>
      </c>
      <c r="C6" s="88">
        <v>3</v>
      </c>
      <c r="D6" s="90">
        <v>4</v>
      </c>
      <c r="E6" s="88">
        <v>5</v>
      </c>
      <c r="F6" s="90">
        <v>6</v>
      </c>
      <c r="G6" s="88">
        <v>7</v>
      </c>
      <c r="H6" s="90">
        <v>8</v>
      </c>
    </row>
    <row r="7" spans="1:8" ht="12.75">
      <c r="A7" s="82" t="s">
        <v>4</v>
      </c>
      <c r="B7" s="83"/>
      <c r="C7" s="73"/>
      <c r="D7" s="74"/>
      <c r="E7" s="73"/>
      <c r="F7" s="74" t="s">
        <v>372</v>
      </c>
      <c r="G7" s="73" t="s">
        <v>372</v>
      </c>
      <c r="H7" s="74" t="s">
        <v>372</v>
      </c>
    </row>
    <row r="8" spans="1:8" ht="12.75">
      <c r="A8" s="76" t="s">
        <v>5</v>
      </c>
      <c r="B8" s="77">
        <v>110</v>
      </c>
      <c r="C8" s="71">
        <v>598175</v>
      </c>
      <c r="D8" s="72">
        <f>C8/C71*100</f>
        <v>0.07196712151359269</v>
      </c>
      <c r="E8" s="71">
        <v>815627</v>
      </c>
      <c r="F8" s="72">
        <f aca="true" t="shared" si="0" ref="F8:F71">E8/$E$71*100</f>
        <v>0.1133453656193599</v>
      </c>
      <c r="G8" s="71">
        <f aca="true" t="shared" si="1" ref="G8:G71">E8-C8</f>
        <v>217452</v>
      </c>
      <c r="H8" s="72">
        <f aca="true" t="shared" si="2" ref="H8:H71">E8/C8*100</f>
        <v>136.3525724077402</v>
      </c>
    </row>
    <row r="9" spans="1:8" ht="12.75">
      <c r="A9" s="76" t="s">
        <v>6</v>
      </c>
      <c r="B9" s="77"/>
      <c r="C9" s="71"/>
      <c r="D9" s="72"/>
      <c r="E9" s="71"/>
      <c r="F9" s="72" t="s">
        <v>372</v>
      </c>
      <c r="G9" s="71" t="s">
        <v>372</v>
      </c>
      <c r="H9" s="72" t="s">
        <v>372</v>
      </c>
    </row>
    <row r="10" spans="1:8" ht="12.75">
      <c r="A10" s="76" t="s">
        <v>7</v>
      </c>
      <c r="B10" s="77">
        <v>111</v>
      </c>
      <c r="C10" s="71">
        <v>208</v>
      </c>
      <c r="D10" s="72">
        <f>C10/C71*100</f>
        <v>2.502471897827104E-05</v>
      </c>
      <c r="E10" s="71">
        <v>208</v>
      </c>
      <c r="F10" s="72">
        <f t="shared" si="0"/>
        <v>2.890516872151959E-05</v>
      </c>
      <c r="G10" s="71">
        <f t="shared" si="1"/>
        <v>0</v>
      </c>
      <c r="H10" s="72">
        <f t="shared" si="2"/>
        <v>100</v>
      </c>
    </row>
    <row r="11" spans="1:8" ht="12.75">
      <c r="A11" s="76" t="s">
        <v>8</v>
      </c>
      <c r="B11" s="77">
        <v>112</v>
      </c>
      <c r="C11" s="71">
        <v>597967</v>
      </c>
      <c r="D11" s="72">
        <f>C11/C71*100</f>
        <v>0.07194209679461443</v>
      </c>
      <c r="E11" s="71">
        <v>815419</v>
      </c>
      <c r="F11" s="72">
        <f t="shared" si="0"/>
        <v>0.11331646045063838</v>
      </c>
      <c r="G11" s="71">
        <f t="shared" si="1"/>
        <v>217452</v>
      </c>
      <c r="H11" s="72">
        <f t="shared" si="2"/>
        <v>136.3652174785565</v>
      </c>
    </row>
    <row r="12" spans="1:8" ht="12.75">
      <c r="A12" s="76" t="s">
        <v>9</v>
      </c>
      <c r="B12" s="77">
        <v>120</v>
      </c>
      <c r="C12" s="71">
        <v>400280596</v>
      </c>
      <c r="D12" s="72">
        <f>C12/$C$71*100</f>
        <v>48.15821840074444</v>
      </c>
      <c r="E12" s="71">
        <v>243485481</v>
      </c>
      <c r="F12" s="72">
        <f t="shared" si="0"/>
        <v>33.83648514204497</v>
      </c>
      <c r="G12" s="71">
        <f t="shared" si="1"/>
        <v>-156795115</v>
      </c>
      <c r="H12" s="72">
        <f t="shared" si="2"/>
        <v>60.82869952556981</v>
      </c>
    </row>
    <row r="13" spans="1:8" ht="12.75">
      <c r="A13" s="76" t="s">
        <v>6</v>
      </c>
      <c r="B13" s="77"/>
      <c r="C13" s="71"/>
      <c r="D13" s="72" t="s">
        <v>372</v>
      </c>
      <c r="E13" s="71"/>
      <c r="F13" s="72" t="s">
        <v>372</v>
      </c>
      <c r="G13" s="71" t="s">
        <v>372</v>
      </c>
      <c r="H13" s="72" t="s">
        <v>372</v>
      </c>
    </row>
    <row r="14" spans="1:8" ht="12.75">
      <c r="A14" s="76" t="s">
        <v>10</v>
      </c>
      <c r="B14" s="77">
        <v>121</v>
      </c>
      <c r="C14" s="71"/>
      <c r="D14" s="72" t="s">
        <v>372</v>
      </c>
      <c r="E14" s="71"/>
      <c r="F14" s="72" t="s">
        <v>372</v>
      </c>
      <c r="G14" s="71" t="s">
        <v>372</v>
      </c>
      <c r="H14" s="72" t="s">
        <v>372</v>
      </c>
    </row>
    <row r="15" spans="1:8" ht="12.75">
      <c r="A15" s="76" t="s">
        <v>11</v>
      </c>
      <c r="B15" s="77">
        <v>122</v>
      </c>
      <c r="C15" s="71">
        <v>400280596</v>
      </c>
      <c r="D15" s="72">
        <f aca="true" t="shared" si="3" ref="D15:D71">C15/$C$71*100</f>
        <v>48.15821840074444</v>
      </c>
      <c r="E15" s="71">
        <v>243485481</v>
      </c>
      <c r="F15" s="72">
        <f t="shared" si="0"/>
        <v>33.83648514204497</v>
      </c>
      <c r="G15" s="71">
        <f t="shared" si="1"/>
        <v>-156795115</v>
      </c>
      <c r="H15" s="72">
        <f t="shared" si="2"/>
        <v>60.82869952556981</v>
      </c>
    </row>
    <row r="16" spans="1:8" ht="12.75">
      <c r="A16" s="76" t="s">
        <v>12</v>
      </c>
      <c r="B16" s="77">
        <v>130</v>
      </c>
      <c r="C16" s="71">
        <v>21320251</v>
      </c>
      <c r="D16" s="72">
        <f t="shared" si="3"/>
        <v>2.5650638933711645</v>
      </c>
      <c r="E16" s="71">
        <v>14369798</v>
      </c>
      <c r="F16" s="72">
        <f t="shared" si="0"/>
        <v>1.996929979250744</v>
      </c>
      <c r="G16" s="71">
        <f t="shared" si="1"/>
        <v>-6950453</v>
      </c>
      <c r="H16" s="72">
        <f t="shared" si="2"/>
        <v>67.39975997468322</v>
      </c>
    </row>
    <row r="17" spans="1:8" ht="12.75">
      <c r="A17" s="76" t="s">
        <v>13</v>
      </c>
      <c r="B17" s="77">
        <v>140</v>
      </c>
      <c r="C17" s="71">
        <v>884865</v>
      </c>
      <c r="D17" s="72">
        <f t="shared" si="3"/>
        <v>0.10645912480147983</v>
      </c>
      <c r="E17" s="71">
        <v>2289076</v>
      </c>
      <c r="F17" s="72">
        <f t="shared" si="0"/>
        <v>0.31810638459798646</v>
      </c>
      <c r="G17" s="71">
        <f t="shared" si="1"/>
        <v>1404211</v>
      </c>
      <c r="H17" s="72">
        <f t="shared" si="2"/>
        <v>258.6921168765857</v>
      </c>
    </row>
    <row r="18" spans="1:8" ht="12.75">
      <c r="A18" s="76" t="s">
        <v>6</v>
      </c>
      <c r="B18" s="77"/>
      <c r="C18" s="71"/>
      <c r="D18" s="72" t="s">
        <v>372</v>
      </c>
      <c r="E18" s="71"/>
      <c r="F18" s="72" t="s">
        <v>372</v>
      </c>
      <c r="G18" s="71" t="s">
        <v>372</v>
      </c>
      <c r="H18" s="72" t="s">
        <v>372</v>
      </c>
    </row>
    <row r="19" spans="1:8" ht="12.75">
      <c r="A19" s="76" t="s">
        <v>14</v>
      </c>
      <c r="B19" s="77">
        <v>141</v>
      </c>
      <c r="C19" s="71"/>
      <c r="D19" s="72" t="s">
        <v>372</v>
      </c>
      <c r="E19" s="71"/>
      <c r="F19" s="72" t="s">
        <v>372</v>
      </c>
      <c r="G19" s="71" t="s">
        <v>372</v>
      </c>
      <c r="H19" s="72" t="s">
        <v>372</v>
      </c>
    </row>
    <row r="20" spans="1:8" ht="12.75">
      <c r="A20" s="76" t="s">
        <v>15</v>
      </c>
      <c r="B20" s="77">
        <v>142</v>
      </c>
      <c r="C20" s="71"/>
      <c r="D20" s="72" t="s">
        <v>372</v>
      </c>
      <c r="E20" s="71"/>
      <c r="F20" s="72" t="s">
        <v>372</v>
      </c>
      <c r="G20" s="71" t="s">
        <v>372</v>
      </c>
      <c r="H20" s="72" t="s">
        <v>372</v>
      </c>
    </row>
    <row r="21" spans="1:8" ht="12.75">
      <c r="A21" s="76" t="s">
        <v>16</v>
      </c>
      <c r="B21" s="77">
        <v>143</v>
      </c>
      <c r="C21" s="71">
        <v>255</v>
      </c>
      <c r="D21" s="72">
        <f t="shared" si="3"/>
        <v>3.067934297816883E-05</v>
      </c>
      <c r="E21" s="71">
        <v>250</v>
      </c>
      <c r="F21" s="72">
        <f t="shared" si="0"/>
        <v>3.474178932874951E-05</v>
      </c>
      <c r="G21" s="71">
        <f t="shared" si="1"/>
        <v>-5</v>
      </c>
      <c r="H21" s="72">
        <f t="shared" si="2"/>
        <v>98.0392156862745</v>
      </c>
    </row>
    <row r="22" spans="1:8" ht="12.75">
      <c r="A22" s="76" t="s">
        <v>17</v>
      </c>
      <c r="B22" s="77">
        <v>144</v>
      </c>
      <c r="C22" s="71">
        <v>150000</v>
      </c>
      <c r="D22" s="72">
        <f t="shared" si="3"/>
        <v>0.01804667234009931</v>
      </c>
      <c r="E22" s="71">
        <v>150000</v>
      </c>
      <c r="F22" s="72">
        <f t="shared" si="0"/>
        <v>0.020845073597249707</v>
      </c>
      <c r="G22" s="71">
        <f t="shared" si="1"/>
        <v>0</v>
      </c>
      <c r="H22" s="72">
        <f t="shared" si="2"/>
        <v>100</v>
      </c>
    </row>
    <row r="23" spans="1:8" ht="12.75">
      <c r="A23" s="76" t="s">
        <v>18</v>
      </c>
      <c r="B23" s="77">
        <v>145</v>
      </c>
      <c r="C23" s="71">
        <v>734610</v>
      </c>
      <c r="D23" s="72">
        <f t="shared" si="3"/>
        <v>0.08838177311840235</v>
      </c>
      <c r="E23" s="71">
        <v>2138826</v>
      </c>
      <c r="F23" s="72">
        <f t="shared" si="0"/>
        <v>0.297226569211408</v>
      </c>
      <c r="G23" s="71">
        <f t="shared" si="1"/>
        <v>1404216</v>
      </c>
      <c r="H23" s="72">
        <f t="shared" si="2"/>
        <v>291.15122309797033</v>
      </c>
    </row>
    <row r="24" spans="1:8" ht="12.75">
      <c r="A24" s="76" t="s">
        <v>19</v>
      </c>
      <c r="B24" s="77">
        <v>150</v>
      </c>
      <c r="C24" s="71">
        <v>522875</v>
      </c>
      <c r="D24" s="72">
        <f t="shared" si="3"/>
        <v>0.06290769199886284</v>
      </c>
      <c r="E24" s="71">
        <v>117272</v>
      </c>
      <c r="F24" s="72">
        <f t="shared" si="0"/>
        <v>0.016296956472644453</v>
      </c>
      <c r="G24" s="71">
        <f t="shared" si="1"/>
        <v>-405603</v>
      </c>
      <c r="H24" s="72">
        <f t="shared" si="2"/>
        <v>22.428305044226633</v>
      </c>
    </row>
    <row r="25" spans="1:8" ht="12.75">
      <c r="A25" s="76" t="s">
        <v>20</v>
      </c>
      <c r="B25" s="77">
        <v>190</v>
      </c>
      <c r="C25" s="71">
        <v>423606762</v>
      </c>
      <c r="D25" s="72">
        <f t="shared" si="3"/>
        <v>50.964616232429535</v>
      </c>
      <c r="E25" s="71">
        <v>261077254</v>
      </c>
      <c r="F25" s="72">
        <f t="shared" si="0"/>
        <v>36.2811638279857</v>
      </c>
      <c r="G25" s="71">
        <f t="shared" si="1"/>
        <v>-162529508</v>
      </c>
      <c r="H25" s="72">
        <f t="shared" si="2"/>
        <v>61.631984524364135</v>
      </c>
    </row>
    <row r="26" spans="1:8" ht="12.75">
      <c r="A26" s="76" t="s">
        <v>21</v>
      </c>
      <c r="B26" s="77"/>
      <c r="C26" s="71"/>
      <c r="D26" s="72" t="s">
        <v>372</v>
      </c>
      <c r="E26" s="71"/>
      <c r="F26" s="72" t="s">
        <v>372</v>
      </c>
      <c r="G26" s="71" t="s">
        <v>372</v>
      </c>
      <c r="H26" s="72" t="s">
        <v>372</v>
      </c>
    </row>
    <row r="27" spans="1:8" ht="12.75">
      <c r="A27" s="76" t="s">
        <v>22</v>
      </c>
      <c r="B27" s="77">
        <v>210</v>
      </c>
      <c r="C27" s="71">
        <v>248211233</v>
      </c>
      <c r="D27" s="72">
        <f t="shared" si="3"/>
        <v>29.86257862055363</v>
      </c>
      <c r="E27" s="71">
        <v>258049865</v>
      </c>
      <c r="F27" s="72">
        <f t="shared" si="0"/>
        <v>35.860456184569</v>
      </c>
      <c r="G27" s="71">
        <f t="shared" si="1"/>
        <v>9838632</v>
      </c>
      <c r="H27" s="72">
        <f t="shared" si="2"/>
        <v>103.96381415985311</v>
      </c>
    </row>
    <row r="28" spans="1:8" ht="12.75">
      <c r="A28" s="76" t="s">
        <v>6</v>
      </c>
      <c r="B28" s="77"/>
      <c r="C28" s="71"/>
      <c r="D28" s="72" t="s">
        <v>372</v>
      </c>
      <c r="E28" s="71"/>
      <c r="F28" s="72" t="s">
        <v>372</v>
      </c>
      <c r="G28" s="71" t="s">
        <v>372</v>
      </c>
      <c r="H28" s="72" t="s">
        <v>372</v>
      </c>
    </row>
    <row r="29" spans="1:8" ht="12.75">
      <c r="A29" s="76" t="s">
        <v>23</v>
      </c>
      <c r="B29" s="77">
        <v>211</v>
      </c>
      <c r="C29" s="71">
        <v>92275725</v>
      </c>
      <c r="D29" s="72">
        <f t="shared" si="3"/>
        <v>11.101798493467403</v>
      </c>
      <c r="E29" s="71">
        <v>118256309</v>
      </c>
      <c r="F29" s="72">
        <f t="shared" si="0"/>
        <v>16.433743096294016</v>
      </c>
      <c r="G29" s="71">
        <f t="shared" si="1"/>
        <v>25980584</v>
      </c>
      <c r="H29" s="72">
        <f t="shared" si="2"/>
        <v>128.15538322782075</v>
      </c>
    </row>
    <row r="30" spans="1:8" ht="12.75">
      <c r="A30" s="76" t="s">
        <v>24</v>
      </c>
      <c r="B30" s="77">
        <v>212</v>
      </c>
      <c r="C30" s="71"/>
      <c r="D30" s="72" t="s">
        <v>372</v>
      </c>
      <c r="E30" s="71"/>
      <c r="F30" s="72" t="s">
        <v>372</v>
      </c>
      <c r="G30" s="71" t="s">
        <v>372</v>
      </c>
      <c r="H30" s="72" t="s">
        <v>372</v>
      </c>
    </row>
    <row r="31" spans="1:8" ht="12.75">
      <c r="A31" s="76" t="s">
        <v>25</v>
      </c>
      <c r="B31" s="77">
        <v>213</v>
      </c>
      <c r="C31" s="71">
        <v>6867734</v>
      </c>
      <c r="D31" s="72">
        <f t="shared" si="3"/>
        <v>0.826264968113064</v>
      </c>
      <c r="E31" s="71">
        <v>8223568</v>
      </c>
      <c r="F31" s="72">
        <f t="shared" si="0"/>
        <v>1.142805867946584</v>
      </c>
      <c r="G31" s="71">
        <f t="shared" si="1"/>
        <v>1355834</v>
      </c>
      <c r="H31" s="72">
        <f t="shared" si="2"/>
        <v>119.74208669118518</v>
      </c>
    </row>
    <row r="32" spans="1:8" ht="12.75">
      <c r="A32" s="76" t="s">
        <v>26</v>
      </c>
      <c r="B32" s="77">
        <v>214</v>
      </c>
      <c r="C32" s="71">
        <v>49726386</v>
      </c>
      <c r="D32" s="72">
        <f t="shared" si="3"/>
        <v>5.982638631995344</v>
      </c>
      <c r="E32" s="71">
        <v>46733519</v>
      </c>
      <c r="F32" s="72">
        <f t="shared" si="0"/>
        <v>6.49442428675645</v>
      </c>
      <c r="G32" s="71">
        <f t="shared" si="1"/>
        <v>-2992867</v>
      </c>
      <c r="H32" s="72">
        <f t="shared" si="2"/>
        <v>93.98133015337169</v>
      </c>
    </row>
    <row r="33" spans="1:8" ht="12.75">
      <c r="A33" s="76" t="s">
        <v>27</v>
      </c>
      <c r="B33" s="77">
        <v>215</v>
      </c>
      <c r="C33" s="71">
        <v>47112447</v>
      </c>
      <c r="D33" s="72">
        <f t="shared" si="3"/>
        <v>5.668152627661964</v>
      </c>
      <c r="E33" s="71">
        <v>19151261</v>
      </c>
      <c r="F33" s="72">
        <f t="shared" si="0"/>
        <v>2.6613963001675867</v>
      </c>
      <c r="G33" s="71">
        <f t="shared" si="1"/>
        <v>-27961186</v>
      </c>
      <c r="H33" s="72">
        <f t="shared" si="2"/>
        <v>40.65010887674758</v>
      </c>
    </row>
    <row r="34" spans="1:8" ht="12.75">
      <c r="A34" s="76" t="s">
        <v>28</v>
      </c>
      <c r="B34" s="77">
        <v>216</v>
      </c>
      <c r="C34" s="71">
        <v>52127075</v>
      </c>
      <c r="D34" s="72">
        <f t="shared" si="3"/>
        <v>6.271468283818549</v>
      </c>
      <c r="E34" s="71">
        <v>65563010</v>
      </c>
      <c r="F34" s="72">
        <f t="shared" si="0"/>
        <v>9.11110512471479</v>
      </c>
      <c r="G34" s="71">
        <f t="shared" si="1"/>
        <v>13435935</v>
      </c>
      <c r="H34" s="72">
        <f t="shared" si="2"/>
        <v>125.77534803170904</v>
      </c>
    </row>
    <row r="35" spans="1:8" ht="12" customHeight="1">
      <c r="A35" s="76" t="s">
        <v>29</v>
      </c>
      <c r="B35" s="77">
        <v>217</v>
      </c>
      <c r="C35" s="71">
        <v>101866</v>
      </c>
      <c r="D35" s="72">
        <f t="shared" si="3"/>
        <v>0.012255615497310374</v>
      </c>
      <c r="E35" s="71">
        <v>122198</v>
      </c>
      <c r="F35" s="72">
        <f t="shared" si="0"/>
        <v>0.01698150868957813</v>
      </c>
      <c r="G35" s="71">
        <f t="shared" si="1"/>
        <v>20332</v>
      </c>
      <c r="H35" s="72">
        <f t="shared" si="2"/>
        <v>119.95955470912767</v>
      </c>
    </row>
    <row r="36" spans="1:8" ht="12.75">
      <c r="A36" s="76" t="s">
        <v>30</v>
      </c>
      <c r="B36" s="77">
        <v>218</v>
      </c>
      <c r="C36" s="71"/>
      <c r="D36" s="72" t="s">
        <v>372</v>
      </c>
      <c r="E36" s="71"/>
      <c r="F36" s="72" t="s">
        <v>372</v>
      </c>
      <c r="G36" s="71" t="s">
        <v>372</v>
      </c>
      <c r="H36" s="72" t="s">
        <v>372</v>
      </c>
    </row>
    <row r="37" spans="1:8" ht="13.5" thickBot="1">
      <c r="A37" s="91" t="s">
        <v>31</v>
      </c>
      <c r="B37" s="92">
        <v>220</v>
      </c>
      <c r="C37" s="93">
        <v>10081258</v>
      </c>
      <c r="D37" s="94">
        <f t="shared" si="3"/>
        <v>1.2128877326800327</v>
      </c>
      <c r="E37" s="93">
        <v>7990305</v>
      </c>
      <c r="F37" s="94">
        <f t="shared" si="0"/>
        <v>1.1103899719298154</v>
      </c>
      <c r="G37" s="93">
        <f t="shared" si="1"/>
        <v>-2090953</v>
      </c>
      <c r="H37" s="94">
        <f t="shared" si="2"/>
        <v>79.25900715962234</v>
      </c>
    </row>
    <row r="38" spans="1:8" s="188" customFormat="1" ht="13.5" thickBot="1">
      <c r="A38" s="88">
        <v>1</v>
      </c>
      <c r="B38" s="187">
        <v>2</v>
      </c>
      <c r="C38" s="187">
        <v>3</v>
      </c>
      <c r="D38" s="187">
        <v>4</v>
      </c>
      <c r="E38" s="187">
        <v>5</v>
      </c>
      <c r="F38" s="187">
        <v>6</v>
      </c>
      <c r="G38" s="187">
        <v>7</v>
      </c>
      <c r="H38" s="187">
        <v>8</v>
      </c>
    </row>
    <row r="39" spans="1:8" ht="12.75">
      <c r="A39" s="83" t="s">
        <v>32</v>
      </c>
      <c r="B39" s="75">
        <v>230</v>
      </c>
      <c r="C39" s="73">
        <v>33512</v>
      </c>
      <c r="D39" s="74">
        <f t="shared" si="3"/>
        <v>0.004031867223076053</v>
      </c>
      <c r="E39" s="73">
        <v>118118</v>
      </c>
      <c r="F39" s="74">
        <f t="shared" si="0"/>
        <v>0.016414522687732937</v>
      </c>
      <c r="G39" s="73">
        <f t="shared" si="1"/>
        <v>84606</v>
      </c>
      <c r="H39" s="74">
        <f t="shared" si="2"/>
        <v>352.46478873239437</v>
      </c>
    </row>
    <row r="40" spans="1:8" ht="12.75">
      <c r="A40" s="76" t="s">
        <v>6</v>
      </c>
      <c r="B40" s="77"/>
      <c r="C40" s="71"/>
      <c r="D40" s="72" t="s">
        <v>372</v>
      </c>
      <c r="E40" s="71"/>
      <c r="F40" s="72" t="s">
        <v>372</v>
      </c>
      <c r="G40" s="71" t="s">
        <v>372</v>
      </c>
      <c r="H40" s="72" t="s">
        <v>372</v>
      </c>
    </row>
    <row r="41" spans="1:8" ht="12.75">
      <c r="A41" s="76" t="s">
        <v>33</v>
      </c>
      <c r="B41" s="77">
        <v>231</v>
      </c>
      <c r="C41" s="71">
        <v>7</v>
      </c>
      <c r="D41" s="72">
        <f t="shared" si="3"/>
        <v>8.421780425379678E-07</v>
      </c>
      <c r="E41" s="71"/>
      <c r="F41" s="72" t="s">
        <v>372</v>
      </c>
      <c r="G41" s="71">
        <f t="shared" si="1"/>
        <v>-7</v>
      </c>
      <c r="H41" s="72">
        <f t="shared" si="2"/>
        <v>0</v>
      </c>
    </row>
    <row r="42" spans="1:8" ht="12.75">
      <c r="A42" s="76" t="s">
        <v>34</v>
      </c>
      <c r="B42" s="77">
        <v>232</v>
      </c>
      <c r="C42" s="71"/>
      <c r="D42" s="72" t="s">
        <v>372</v>
      </c>
      <c r="E42" s="71"/>
      <c r="F42" s="72" t="s">
        <v>372</v>
      </c>
      <c r="G42" s="71" t="s">
        <v>372</v>
      </c>
      <c r="H42" s="72" t="s">
        <v>372</v>
      </c>
    </row>
    <row r="43" spans="1:8" ht="12.75">
      <c r="A43" s="76" t="s">
        <v>35</v>
      </c>
      <c r="B43" s="77">
        <v>233</v>
      </c>
      <c r="C43" s="71"/>
      <c r="D43" s="72" t="s">
        <v>372</v>
      </c>
      <c r="E43" s="71"/>
      <c r="F43" s="72" t="s">
        <v>372</v>
      </c>
      <c r="G43" s="71" t="s">
        <v>372</v>
      </c>
      <c r="H43" s="72" t="s">
        <v>372</v>
      </c>
    </row>
    <row r="44" spans="1:8" ht="12.75">
      <c r="A44" s="76" t="s">
        <v>36</v>
      </c>
      <c r="B44" s="77">
        <v>234</v>
      </c>
      <c r="C44" s="71">
        <v>12000</v>
      </c>
      <c r="D44" s="72">
        <f t="shared" si="3"/>
        <v>0.0014437337872079449</v>
      </c>
      <c r="E44" s="71"/>
      <c r="F44" s="72" t="s">
        <v>372</v>
      </c>
      <c r="G44" s="71">
        <f t="shared" si="1"/>
        <v>-12000</v>
      </c>
      <c r="H44" s="72">
        <f t="shared" si="2"/>
        <v>0</v>
      </c>
    </row>
    <row r="45" spans="1:8" ht="12.75">
      <c r="A45" s="76" t="s">
        <v>37</v>
      </c>
      <c r="B45" s="77">
        <v>235</v>
      </c>
      <c r="C45" s="71">
        <v>21505</v>
      </c>
      <c r="D45" s="72">
        <f t="shared" si="3"/>
        <v>0.002587291257825571</v>
      </c>
      <c r="E45" s="71">
        <v>118118</v>
      </c>
      <c r="F45" s="72">
        <f t="shared" si="0"/>
        <v>0.016414522687732937</v>
      </c>
      <c r="G45" s="71">
        <f t="shared" si="1"/>
        <v>96613</v>
      </c>
      <c r="H45" s="72">
        <f t="shared" si="2"/>
        <v>549.2583120204604</v>
      </c>
    </row>
    <row r="46" spans="1:8" ht="12.75">
      <c r="A46" s="76" t="s">
        <v>38</v>
      </c>
      <c r="B46" s="77">
        <v>240</v>
      </c>
      <c r="C46" s="71">
        <v>88480632</v>
      </c>
      <c r="D46" s="72">
        <f t="shared" si="3"/>
        <v>10.645206494326038</v>
      </c>
      <c r="E46" s="71">
        <v>113057637</v>
      </c>
      <c r="F46" s="72">
        <f t="shared" si="0"/>
        <v>15.711298426640944</v>
      </c>
      <c r="G46" s="71">
        <f t="shared" si="1"/>
        <v>24577005</v>
      </c>
      <c r="H46" s="72">
        <f t="shared" si="2"/>
        <v>127.77670598012907</v>
      </c>
    </row>
    <row r="47" spans="1:8" ht="12.75">
      <c r="A47" s="76" t="s">
        <v>6</v>
      </c>
      <c r="B47" s="77"/>
      <c r="C47" s="71"/>
      <c r="D47" s="72" t="s">
        <v>372</v>
      </c>
      <c r="E47" s="71"/>
      <c r="F47" s="72" t="s">
        <v>372</v>
      </c>
      <c r="G47" s="71" t="s">
        <v>372</v>
      </c>
      <c r="H47" s="72" t="s">
        <v>372</v>
      </c>
    </row>
    <row r="48" spans="1:8" ht="12.75">
      <c r="A48" s="76" t="s">
        <v>33</v>
      </c>
      <c r="B48" s="77">
        <v>241</v>
      </c>
      <c r="C48" s="71">
        <v>112911</v>
      </c>
      <c r="D48" s="72">
        <f t="shared" si="3"/>
        <v>0.013584452137286354</v>
      </c>
      <c r="E48" s="71">
        <v>5110686</v>
      </c>
      <c r="F48" s="72">
        <f t="shared" si="0"/>
        <v>0.7102175053495581</v>
      </c>
      <c r="G48" s="71">
        <f t="shared" si="1"/>
        <v>4997775</v>
      </c>
      <c r="H48" s="72">
        <f t="shared" si="2"/>
        <v>4526.295932194384</v>
      </c>
    </row>
    <row r="49" spans="1:8" ht="12.75">
      <c r="A49" s="76" t="s">
        <v>34</v>
      </c>
      <c r="B49" s="77">
        <v>242</v>
      </c>
      <c r="C49" s="71">
        <v>60251612</v>
      </c>
      <c r="D49" s="72">
        <f t="shared" si="3"/>
        <v>7.248940664845305</v>
      </c>
      <c r="E49" s="71">
        <v>24109695</v>
      </c>
      <c r="F49" s="72">
        <f t="shared" si="0"/>
        <v>3.3504557778816215</v>
      </c>
      <c r="G49" s="71">
        <f t="shared" si="1"/>
        <v>-36141917</v>
      </c>
      <c r="H49" s="72">
        <f t="shared" si="2"/>
        <v>40.01502067695716</v>
      </c>
    </row>
    <row r="50" spans="1:8" ht="12.75">
      <c r="A50" s="76" t="s">
        <v>35</v>
      </c>
      <c r="B50" s="77">
        <v>243</v>
      </c>
      <c r="C50" s="71"/>
      <c r="D50" s="72" t="s">
        <v>372</v>
      </c>
      <c r="E50" s="71"/>
      <c r="F50" s="72" t="s">
        <v>372</v>
      </c>
      <c r="G50" s="71" t="s">
        <v>372</v>
      </c>
      <c r="H50" s="72" t="s">
        <v>372</v>
      </c>
    </row>
    <row r="51" spans="1:8" ht="12.75">
      <c r="A51" s="76" t="s">
        <v>39</v>
      </c>
      <c r="B51" s="77">
        <v>244</v>
      </c>
      <c r="C51" s="71"/>
      <c r="D51" s="72" t="s">
        <v>372</v>
      </c>
      <c r="E51" s="71"/>
      <c r="F51" s="72" t="s">
        <v>372</v>
      </c>
      <c r="G51" s="71" t="s">
        <v>372</v>
      </c>
      <c r="H51" s="72" t="s">
        <v>372</v>
      </c>
    </row>
    <row r="52" spans="1:8" ht="12.75">
      <c r="A52" s="76" t="s">
        <v>36</v>
      </c>
      <c r="B52" s="77">
        <v>245</v>
      </c>
      <c r="C52" s="71">
        <v>245621143</v>
      </c>
      <c r="D52" s="72">
        <f t="shared" si="3"/>
        <v>29.55096191681118</v>
      </c>
      <c r="E52" s="71">
        <v>65135794</v>
      </c>
      <c r="F52" s="72">
        <f t="shared" si="0"/>
        <v>9.051736131635305</v>
      </c>
      <c r="G52" s="71">
        <f t="shared" si="1"/>
        <v>-180485349</v>
      </c>
      <c r="H52" s="72">
        <f t="shared" si="2"/>
        <v>26.518805834235533</v>
      </c>
    </row>
    <row r="53" spans="1:8" ht="12.75">
      <c r="A53" s="76" t="s">
        <v>37</v>
      </c>
      <c r="B53" s="77">
        <v>246</v>
      </c>
      <c r="C53" s="71">
        <v>3553966</v>
      </c>
      <c r="D53" s="72">
        <f t="shared" si="3"/>
        <v>0.42758173273235595</v>
      </c>
      <c r="E53" s="71">
        <v>18701462</v>
      </c>
      <c r="F53" s="72">
        <f t="shared" si="0"/>
        <v>2.5988890117744576</v>
      </c>
      <c r="G53" s="71">
        <f t="shared" si="1"/>
        <v>15147496</v>
      </c>
      <c r="H53" s="72">
        <f t="shared" si="2"/>
        <v>526.2138692379161</v>
      </c>
    </row>
    <row r="54" spans="1:8" ht="12.75">
      <c r="A54" s="76" t="s">
        <v>40</v>
      </c>
      <c r="B54" s="77">
        <v>250</v>
      </c>
      <c r="C54" s="71">
        <v>676854</v>
      </c>
      <c r="D54" s="72">
        <f t="shared" si="3"/>
        <v>0.08143308240057053</v>
      </c>
      <c r="E54" s="71">
        <v>14791262</v>
      </c>
      <c r="F54" s="72">
        <f t="shared" si="0"/>
        <v>2.0554996332413524</v>
      </c>
      <c r="G54" s="71">
        <f t="shared" si="1"/>
        <v>14114408</v>
      </c>
      <c r="H54" s="72">
        <f t="shared" si="2"/>
        <v>2185.295794957258</v>
      </c>
    </row>
    <row r="55" spans="1:8" ht="12.75">
      <c r="A55" s="76" t="s">
        <v>6</v>
      </c>
      <c r="B55" s="77"/>
      <c r="C55" s="71"/>
      <c r="D55" s="72" t="s">
        <v>372</v>
      </c>
      <c r="E55" s="71"/>
      <c r="F55" s="72" t="s">
        <v>372</v>
      </c>
      <c r="G55" s="71" t="s">
        <v>372</v>
      </c>
      <c r="H55" s="72" t="s">
        <v>372</v>
      </c>
    </row>
    <row r="56" spans="1:8" ht="12.75">
      <c r="A56" s="76" t="s">
        <v>41</v>
      </c>
      <c r="B56" s="77">
        <v>251</v>
      </c>
      <c r="C56" s="71"/>
      <c r="D56" s="72" t="s">
        <v>372</v>
      </c>
      <c r="E56" s="71"/>
      <c r="F56" s="72" t="s">
        <v>372</v>
      </c>
      <c r="G56" s="71" t="s">
        <v>372</v>
      </c>
      <c r="H56" s="72" t="s">
        <v>372</v>
      </c>
    </row>
    <row r="57" spans="1:8" ht="12.75">
      <c r="A57" s="76" t="s">
        <v>42</v>
      </c>
      <c r="B57" s="77">
        <v>252</v>
      </c>
      <c r="C57" s="71"/>
      <c r="D57" s="72" t="s">
        <v>372</v>
      </c>
      <c r="E57" s="71"/>
      <c r="F57" s="72" t="s">
        <v>372</v>
      </c>
      <c r="G57" s="71" t="s">
        <v>372</v>
      </c>
      <c r="H57" s="72" t="s">
        <v>372</v>
      </c>
    </row>
    <row r="58" spans="1:8" ht="12.75">
      <c r="A58" s="76" t="s">
        <v>43</v>
      </c>
      <c r="B58" s="77">
        <v>253</v>
      </c>
      <c r="C58" s="71">
        <v>676854</v>
      </c>
      <c r="D58" s="72">
        <f t="shared" si="3"/>
        <v>0.08143308240057053</v>
      </c>
      <c r="E58" s="71">
        <v>14791262</v>
      </c>
      <c r="F58" s="72">
        <f t="shared" si="0"/>
        <v>2.0554996332413524</v>
      </c>
      <c r="G58" s="71">
        <f t="shared" si="1"/>
        <v>14114408</v>
      </c>
      <c r="H58" s="72">
        <f t="shared" si="2"/>
        <v>2185.295794957258</v>
      </c>
    </row>
    <row r="59" spans="1:8" ht="12.75">
      <c r="A59" s="76" t="s">
        <v>44</v>
      </c>
      <c r="B59" s="77">
        <v>260</v>
      </c>
      <c r="C59" s="71">
        <v>292749</v>
      </c>
      <c r="D59" s="72">
        <f t="shared" si="3"/>
        <v>0.03522096853927822</v>
      </c>
      <c r="E59" s="71">
        <v>12825587</v>
      </c>
      <c r="F59" s="72">
        <f t="shared" si="0"/>
        <v>1.7823353662861938</v>
      </c>
      <c r="G59" s="71">
        <f t="shared" si="1"/>
        <v>12532838</v>
      </c>
      <c r="H59" s="72">
        <f t="shared" si="2"/>
        <v>4381.0865280496255</v>
      </c>
    </row>
    <row r="60" spans="1:8" ht="12.75">
      <c r="A60" s="76" t="s">
        <v>6</v>
      </c>
      <c r="B60" s="77"/>
      <c r="C60" s="71"/>
      <c r="D60" s="72" t="s">
        <v>372</v>
      </c>
      <c r="E60" s="71"/>
      <c r="F60" s="72" t="s">
        <v>372</v>
      </c>
      <c r="G60" s="71" t="s">
        <v>372</v>
      </c>
      <c r="H60" s="72" t="s">
        <v>372</v>
      </c>
    </row>
    <row r="61" spans="1:8" ht="12.75">
      <c r="A61" s="76" t="s">
        <v>45</v>
      </c>
      <c r="B61" s="77">
        <v>261</v>
      </c>
      <c r="C61" s="71">
        <v>18616</v>
      </c>
      <c r="D61" s="72">
        <f t="shared" si="3"/>
        <v>0.0022397123485552585</v>
      </c>
      <c r="E61" s="71">
        <v>99695</v>
      </c>
      <c r="F61" s="72">
        <f t="shared" si="0"/>
        <v>0.01385433074851873</v>
      </c>
      <c r="G61" s="71">
        <f t="shared" si="1"/>
        <v>81079</v>
      </c>
      <c r="H61" s="72">
        <f t="shared" si="2"/>
        <v>535.5339492909326</v>
      </c>
    </row>
    <row r="62" spans="1:8" ht="12.75">
      <c r="A62" s="76" t="s">
        <v>46</v>
      </c>
      <c r="B62" s="77">
        <v>262</v>
      </c>
      <c r="C62" s="71">
        <v>249255</v>
      </c>
      <c r="D62" s="72">
        <f t="shared" si="3"/>
        <v>0.029988155427543024</v>
      </c>
      <c r="E62" s="71">
        <v>12724852</v>
      </c>
      <c r="F62" s="72">
        <f t="shared" si="0"/>
        <v>1.7683365096940673</v>
      </c>
      <c r="G62" s="71">
        <f t="shared" si="1"/>
        <v>12475597</v>
      </c>
      <c r="H62" s="72">
        <f t="shared" si="2"/>
        <v>5105.154159394997</v>
      </c>
    </row>
    <row r="63" spans="1:8" ht="12.75">
      <c r="A63" s="76" t="s">
        <v>47</v>
      </c>
      <c r="B63" s="77">
        <v>263</v>
      </c>
      <c r="C63" s="71"/>
      <c r="D63" s="72" t="s">
        <v>372</v>
      </c>
      <c r="E63" s="71">
        <v>1033</v>
      </c>
      <c r="F63" s="72">
        <f t="shared" si="0"/>
        <v>0.000143553073506393</v>
      </c>
      <c r="G63" s="71">
        <f t="shared" si="1"/>
        <v>1033</v>
      </c>
      <c r="H63" s="72" t="s">
        <v>372</v>
      </c>
    </row>
    <row r="64" spans="1:8" ht="12.75">
      <c r="A64" s="76" t="s">
        <v>48</v>
      </c>
      <c r="B64" s="77">
        <v>264</v>
      </c>
      <c r="C64" s="71">
        <v>24878</v>
      </c>
      <c r="D64" s="72">
        <f t="shared" si="3"/>
        <v>0.0029931007631799375</v>
      </c>
      <c r="E64" s="71">
        <v>7</v>
      </c>
      <c r="F64" s="72">
        <f t="shared" si="0"/>
        <v>9.727701012049863E-07</v>
      </c>
      <c r="G64" s="71">
        <f t="shared" si="1"/>
        <v>-24871</v>
      </c>
      <c r="H64" s="72">
        <f t="shared" si="2"/>
        <v>0.028137310073157007</v>
      </c>
    </row>
    <row r="65" spans="1:8" ht="12.75">
      <c r="A65" s="76" t="s">
        <v>49</v>
      </c>
      <c r="B65" s="77">
        <v>270</v>
      </c>
      <c r="C65" s="71">
        <v>59795165</v>
      </c>
      <c r="D65" s="72">
        <f t="shared" si="3"/>
        <v>7.1940250018478284</v>
      </c>
      <c r="E65" s="71">
        <v>51684457</v>
      </c>
      <c r="F65" s="72">
        <f t="shared" si="0"/>
        <v>7.1824420666592514</v>
      </c>
      <c r="G65" s="71">
        <f t="shared" si="1"/>
        <v>-8110708</v>
      </c>
      <c r="H65" s="72">
        <f t="shared" si="2"/>
        <v>86.43584644343736</v>
      </c>
    </row>
    <row r="66" spans="1:8" ht="12.75">
      <c r="A66" s="76" t="s">
        <v>50</v>
      </c>
      <c r="B66" s="77">
        <v>290</v>
      </c>
      <c r="C66" s="71">
        <v>407571403</v>
      </c>
      <c r="D66" s="72">
        <f t="shared" si="3"/>
        <v>49.03538376757046</v>
      </c>
      <c r="E66" s="71">
        <v>458517231</v>
      </c>
      <c r="F66" s="72">
        <f t="shared" si="0"/>
        <v>63.71883617201429</v>
      </c>
      <c r="G66" s="71">
        <f t="shared" si="1"/>
        <v>50945828</v>
      </c>
      <c r="H66" s="72">
        <f t="shared" si="2"/>
        <v>112.49985343059016</v>
      </c>
    </row>
    <row r="67" spans="1:8" ht="12.75">
      <c r="A67" s="76" t="s">
        <v>51</v>
      </c>
      <c r="B67" s="77"/>
      <c r="C67" s="71"/>
      <c r="D67" s="72" t="s">
        <v>372</v>
      </c>
      <c r="E67" s="71"/>
      <c r="F67" s="72" t="s">
        <v>372</v>
      </c>
      <c r="G67" s="71" t="s">
        <v>372</v>
      </c>
      <c r="H67" s="72" t="s">
        <v>372</v>
      </c>
    </row>
    <row r="68" spans="1:8" ht="12.75">
      <c r="A68" s="76" t="s">
        <v>52</v>
      </c>
      <c r="B68" s="77">
        <v>310</v>
      </c>
      <c r="C68" s="71"/>
      <c r="D68" s="72" t="s">
        <v>372</v>
      </c>
      <c r="E68" s="71"/>
      <c r="F68" s="72" t="s">
        <v>372</v>
      </c>
      <c r="G68" s="71" t="s">
        <v>372</v>
      </c>
      <c r="H68" s="72" t="s">
        <v>372</v>
      </c>
    </row>
    <row r="69" spans="1:8" ht="12.75">
      <c r="A69" s="76" t="s">
        <v>53</v>
      </c>
      <c r="B69" s="77">
        <v>320</v>
      </c>
      <c r="C69" s="71"/>
      <c r="D69" s="72" t="s">
        <v>372</v>
      </c>
      <c r="E69" s="71"/>
      <c r="F69" s="72" t="s">
        <v>372</v>
      </c>
      <c r="G69" s="71" t="s">
        <v>372</v>
      </c>
      <c r="H69" s="72" t="s">
        <v>372</v>
      </c>
    </row>
    <row r="70" spans="1:8" ht="13.5" thickBot="1">
      <c r="A70" s="91" t="s">
        <v>54</v>
      </c>
      <c r="B70" s="92">
        <v>390</v>
      </c>
      <c r="C70" s="93"/>
      <c r="D70" s="94" t="s">
        <v>372</v>
      </c>
      <c r="E70" s="93"/>
      <c r="F70" s="94" t="s">
        <v>372</v>
      </c>
      <c r="G70" s="93" t="s">
        <v>372</v>
      </c>
      <c r="H70" s="94" t="s">
        <v>372</v>
      </c>
    </row>
    <row r="71" spans="1:8" ht="13.5" thickBot="1">
      <c r="A71" s="95" t="s">
        <v>55</v>
      </c>
      <c r="B71" s="84">
        <v>399</v>
      </c>
      <c r="C71" s="85">
        <v>831178165</v>
      </c>
      <c r="D71" s="86">
        <f t="shared" si="3"/>
        <v>100</v>
      </c>
      <c r="E71" s="85">
        <v>719594485</v>
      </c>
      <c r="F71" s="86">
        <f t="shared" si="0"/>
        <v>100</v>
      </c>
      <c r="G71" s="85">
        <f t="shared" si="1"/>
        <v>-111583680</v>
      </c>
      <c r="H71" s="86">
        <f t="shared" si="2"/>
        <v>86.57523925691672</v>
      </c>
    </row>
  </sheetData>
  <mergeCells count="5">
    <mergeCell ref="G4:H4"/>
    <mergeCell ref="C4:D4"/>
    <mergeCell ref="E4:F4"/>
    <mergeCell ref="A4:A5"/>
    <mergeCell ref="B4:B5"/>
  </mergeCells>
  <printOptions/>
  <pageMargins left="0.77" right="0.3937007874015748" top="0.94" bottom="0.75" header="0.5118110236220472" footer="0.4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116"/>
  <sheetViews>
    <sheetView workbookViewId="0" topLeftCell="A99">
      <selection activeCell="D61" sqref="D61"/>
      <selection activeCell="A112" sqref="A112:D112"/>
    </sheetView>
  </sheetViews>
  <sheetFormatPr defaultColWidth="9.00390625" defaultRowHeight="12.75"/>
  <cols>
    <col min="1" max="1" width="55.75390625" style="0" customWidth="1"/>
    <col min="2" max="2" width="10.50390625" style="0" bestFit="1" customWidth="1"/>
    <col min="3" max="4" width="13.75390625" style="0" customWidth="1"/>
    <col min="7" max="7" width="10.875" style="156" customWidth="1"/>
    <col min="8" max="8" width="11.375" style="0" customWidth="1"/>
  </cols>
  <sheetData>
    <row r="1" spans="1:7" s="157" customFormat="1" ht="15">
      <c r="A1" s="157" t="s">
        <v>394</v>
      </c>
      <c r="G1" s="221"/>
    </row>
    <row r="2" ht="12.75">
      <c r="D2" t="s">
        <v>393</v>
      </c>
    </row>
    <row r="3" ht="13.5" thickBot="1"/>
    <row r="4" spans="1:4" ht="15.75" thickBot="1">
      <c r="A4" s="133" t="s">
        <v>0</v>
      </c>
      <c r="B4" s="108" t="s">
        <v>1</v>
      </c>
      <c r="C4" s="134" t="s">
        <v>2</v>
      </c>
      <c r="D4" s="135" t="s">
        <v>3</v>
      </c>
    </row>
    <row r="5" spans="1:4" ht="13.5" thickBot="1">
      <c r="A5" s="41">
        <v>1</v>
      </c>
      <c r="B5" s="41">
        <v>2</v>
      </c>
      <c r="C5" s="120">
        <v>3</v>
      </c>
      <c r="D5" s="121">
        <v>4</v>
      </c>
    </row>
    <row r="6" spans="1:4" ht="15">
      <c r="A6" s="136" t="s">
        <v>4</v>
      </c>
      <c r="B6" s="117"/>
      <c r="C6" s="118"/>
      <c r="D6" s="119"/>
    </row>
    <row r="7" spans="1:9" ht="12.75">
      <c r="A7" s="102" t="s">
        <v>395</v>
      </c>
      <c r="B7" s="101">
        <v>110</v>
      </c>
      <c r="C7" s="110">
        <v>598175</v>
      </c>
      <c r="D7" s="111">
        <v>815627</v>
      </c>
      <c r="G7" s="156">
        <f>C24/C70*100</f>
        <v>50.964616232429535</v>
      </c>
      <c r="H7" s="156">
        <f>D24/D70*100</f>
        <v>36.2811638279857</v>
      </c>
      <c r="I7" s="160">
        <f>H7-G7</f>
        <v>-14.683452404443834</v>
      </c>
    </row>
    <row r="8" spans="1:9" ht="12.75">
      <c r="A8" s="102" t="s">
        <v>6</v>
      </c>
      <c r="B8" s="101"/>
      <c r="C8" s="110"/>
      <c r="D8" s="111"/>
      <c r="G8" s="156">
        <f>(C65+C24)/C70*100</f>
        <v>100</v>
      </c>
      <c r="H8" s="156">
        <f>(D65+D24)/D70*100</f>
        <v>100</v>
      </c>
      <c r="I8" s="160">
        <f aca="true" t="shared" si="0" ref="I8:I22">H8-G8</f>
        <v>0</v>
      </c>
    </row>
    <row r="9" spans="1:9" ht="12.75">
      <c r="A9" s="102" t="s">
        <v>7</v>
      </c>
      <c r="B9" s="101">
        <v>111</v>
      </c>
      <c r="C9" s="110">
        <v>208</v>
      </c>
      <c r="D9" s="111">
        <v>208</v>
      </c>
      <c r="G9" s="156">
        <f>(C11+C15+C28+C30+C31)/C70*100</f>
        <v>68.63398438769141</v>
      </c>
      <c r="H9" s="156">
        <f>(D11+D15+D28+D30+D31)/D70*100</f>
        <v>59.90438837229276</v>
      </c>
      <c r="I9" s="160">
        <f t="shared" si="0"/>
        <v>-8.729596015398656</v>
      </c>
    </row>
    <row r="10" spans="1:9" ht="12.75">
      <c r="A10" s="102" t="s">
        <v>8</v>
      </c>
      <c r="B10" s="101">
        <v>112</v>
      </c>
      <c r="C10" s="110">
        <v>597967</v>
      </c>
      <c r="D10" s="111">
        <v>815419</v>
      </c>
      <c r="I10" s="160" t="s">
        <v>372</v>
      </c>
    </row>
    <row r="11" spans="1:9" ht="12.75">
      <c r="A11" s="102" t="s">
        <v>396</v>
      </c>
      <c r="B11" s="101">
        <v>120</v>
      </c>
      <c r="C11" s="110">
        <v>400280596</v>
      </c>
      <c r="D11" s="111">
        <v>243485481</v>
      </c>
      <c r="G11" s="156">
        <f>(C86+C110)/C70</f>
        <v>0.5623993683712806</v>
      </c>
      <c r="H11" s="156">
        <f>(D86+D110)/D70</f>
        <v>0.4742489070076739</v>
      </c>
      <c r="I11" s="160">
        <f t="shared" si="0"/>
        <v>-0.08815046136360666</v>
      </c>
    </row>
    <row r="12" spans="1:9" ht="12.75">
      <c r="A12" s="102" t="s">
        <v>6</v>
      </c>
      <c r="B12" s="101"/>
      <c r="C12" s="110"/>
      <c r="D12" s="111"/>
      <c r="G12" s="156">
        <f>(C93+C115-C110)/(C86+C110)</f>
        <v>0.7780958803279231</v>
      </c>
      <c r="H12" s="156">
        <f>(D93+D115-D110)/(D86+D110)</f>
        <v>1.1085973741291486</v>
      </c>
      <c r="I12" s="160">
        <f t="shared" si="0"/>
        <v>0.3305014938012255</v>
      </c>
    </row>
    <row r="13" spans="1:9" ht="12.75">
      <c r="A13" s="102" t="s">
        <v>10</v>
      </c>
      <c r="B13" s="101">
        <v>121</v>
      </c>
      <c r="C13" s="110"/>
      <c r="D13" s="111"/>
      <c r="G13" s="156">
        <f>(C52+C58)/(C115-C110)</f>
        <v>0.002667911658905446</v>
      </c>
      <c r="H13" s="156">
        <f>(D52+D58)/(D115-D110)</f>
        <v>0.07299769494978002</v>
      </c>
      <c r="I13" s="160">
        <f t="shared" si="0"/>
        <v>0.07032978329087458</v>
      </c>
    </row>
    <row r="14" spans="1:9" ht="12.75">
      <c r="A14" s="102" t="s">
        <v>11</v>
      </c>
      <c r="B14" s="101">
        <v>122</v>
      </c>
      <c r="C14" s="110">
        <v>400280596</v>
      </c>
      <c r="D14" s="111">
        <v>243485481</v>
      </c>
      <c r="G14" s="156">
        <f>(C37+C44+C52+C58+C64)/(C115-C110)</f>
        <v>0.4107484710273381</v>
      </c>
      <c r="H14" s="156">
        <f>(D37+D44+D52+D58+D64)/(D115-D110)</f>
        <v>0.5087612197795701</v>
      </c>
      <c r="I14" s="160">
        <f t="shared" si="0"/>
        <v>0.09801274875223204</v>
      </c>
    </row>
    <row r="15" spans="1:9" ht="12.75">
      <c r="A15" s="102" t="s">
        <v>397</v>
      </c>
      <c r="B15" s="101">
        <v>130</v>
      </c>
      <c r="C15" s="110">
        <v>21320251</v>
      </c>
      <c r="D15" s="111">
        <v>14369798</v>
      </c>
      <c r="G15" s="156">
        <f>C65/(C115-C110)</f>
        <v>1.1214533142947682</v>
      </c>
      <c r="H15" s="156">
        <f>D65/(D115-D110)</f>
        <v>1.2119666859081506</v>
      </c>
      <c r="I15" s="160">
        <f t="shared" si="0"/>
        <v>0.09051337161338235</v>
      </c>
    </row>
    <row r="16" spans="1:9" ht="12.75">
      <c r="A16" s="102" t="s">
        <v>398</v>
      </c>
      <c r="B16" s="101">
        <v>140</v>
      </c>
      <c r="C16" s="110">
        <v>884865</v>
      </c>
      <c r="D16" s="111">
        <v>2289076</v>
      </c>
      <c r="G16" s="156">
        <f>(C86-C24)/C65</f>
        <v>0.10753066254748987</v>
      </c>
      <c r="H16" s="156">
        <f>(D86-D24)/D65</f>
        <v>0.17484213368635648</v>
      </c>
      <c r="I16" s="160">
        <f t="shared" si="0"/>
        <v>0.06731147113886661</v>
      </c>
    </row>
    <row r="17" spans="1:9" ht="12.75">
      <c r="A17" s="102" t="s">
        <v>6</v>
      </c>
      <c r="B17" s="101"/>
      <c r="C17" s="110"/>
      <c r="D17" s="111"/>
      <c r="I17" s="160">
        <f t="shared" si="0"/>
        <v>0</v>
      </c>
    </row>
    <row r="18" spans="1:9" ht="12.75">
      <c r="A18" s="102" t="s">
        <v>14</v>
      </c>
      <c r="B18" s="101">
        <v>141</v>
      </c>
      <c r="C18" s="110"/>
      <c r="D18" s="111"/>
      <c r="G18" s="156">
        <f>Форма2!C6/(C70+D70)*2</f>
        <v>0.9188352489966857</v>
      </c>
      <c r="H18" s="156">
        <f>Форма2!D6/(C70+D70)*2</f>
        <v>1.1659258086606055</v>
      </c>
      <c r="I18" s="160">
        <f t="shared" si="0"/>
        <v>0.2470905596639198</v>
      </c>
    </row>
    <row r="19" spans="1:9" ht="12.75">
      <c r="A19" s="102" t="s">
        <v>15</v>
      </c>
      <c r="B19" s="101">
        <v>142</v>
      </c>
      <c r="C19" s="110"/>
      <c r="D19" s="111"/>
      <c r="G19" s="156">
        <f>Форма2!C6/(C65-C34+D65-D34)*2</f>
        <v>1.6456436992219234</v>
      </c>
      <c r="H19" s="156">
        <f>Форма2!D6/(D65-D34+C65-C34)*2</f>
        <v>2.0881855184350595</v>
      </c>
      <c r="I19" s="160">
        <f t="shared" si="0"/>
        <v>0.44254181921313607</v>
      </c>
    </row>
    <row r="20" spans="1:9" ht="12.75">
      <c r="A20" s="102" t="s">
        <v>16</v>
      </c>
      <c r="B20" s="101">
        <v>143</v>
      </c>
      <c r="C20" s="110">
        <v>255</v>
      </c>
      <c r="D20" s="111">
        <v>250</v>
      </c>
      <c r="G20" s="156">
        <f>Форма2!C10/Форма2!C6*100</f>
        <v>4.630891303462122</v>
      </c>
      <c r="H20" s="156">
        <f>Форма2!D10/Форма2!D6*100</f>
        <v>14.166134155080742</v>
      </c>
      <c r="I20" s="160">
        <f t="shared" si="0"/>
        <v>9.53524285161862</v>
      </c>
    </row>
    <row r="21" spans="1:9" ht="12.75">
      <c r="A21" s="102" t="s">
        <v>17</v>
      </c>
      <c r="B21" s="101">
        <v>144</v>
      </c>
      <c r="C21" s="110">
        <v>150000</v>
      </c>
      <c r="D21" s="111">
        <v>150000</v>
      </c>
      <c r="G21" s="156">
        <f>Форма2!C19/(C86+D86)*2*100</f>
        <v>5.220513262766442</v>
      </c>
      <c r="H21" s="156">
        <f>Форма2!D19/(D86+C86)*2*100</f>
        <v>28.148446916306934</v>
      </c>
      <c r="I21" s="160">
        <f t="shared" si="0"/>
        <v>22.927933653540492</v>
      </c>
    </row>
    <row r="22" spans="1:9" ht="12.75">
      <c r="A22" s="102" t="s">
        <v>18</v>
      </c>
      <c r="B22" s="101">
        <v>145</v>
      </c>
      <c r="C22" s="110">
        <v>734610</v>
      </c>
      <c r="D22" s="111">
        <v>2138826</v>
      </c>
      <c r="G22" s="156">
        <f>Форма2!C19/(C70+D70)*2*100</f>
        <v>2.7223314777959233</v>
      </c>
      <c r="H22" s="156">
        <f>Форма2!D19/(D70+C70)*2*100</f>
        <v>14.678518995031284</v>
      </c>
      <c r="I22" s="160">
        <f t="shared" si="0"/>
        <v>11.95618751723536</v>
      </c>
    </row>
    <row r="23" spans="1:4" ht="12.75">
      <c r="A23" s="102" t="s">
        <v>19</v>
      </c>
      <c r="B23" s="101">
        <v>150</v>
      </c>
      <c r="C23" s="110">
        <v>522875</v>
      </c>
      <c r="D23" s="111">
        <v>117272</v>
      </c>
    </row>
    <row r="24" spans="1:4" ht="15">
      <c r="A24" s="104" t="s">
        <v>20</v>
      </c>
      <c r="B24" s="101">
        <v>190</v>
      </c>
      <c r="C24" s="110">
        <v>423606762</v>
      </c>
      <c r="D24" s="111">
        <v>261077254</v>
      </c>
    </row>
    <row r="25" spans="1:4" ht="15">
      <c r="A25" s="104" t="s">
        <v>21</v>
      </c>
      <c r="B25" s="101"/>
      <c r="C25" s="110"/>
      <c r="D25" s="111"/>
    </row>
    <row r="26" spans="1:4" ht="12.75">
      <c r="A26" s="102" t="s">
        <v>22</v>
      </c>
      <c r="B26" s="101">
        <v>210</v>
      </c>
      <c r="C26" s="110">
        <v>248211233</v>
      </c>
      <c r="D26" s="111">
        <v>258049865</v>
      </c>
    </row>
    <row r="27" spans="1:4" ht="12.75">
      <c r="A27" s="102" t="s">
        <v>6</v>
      </c>
      <c r="B27" s="101"/>
      <c r="C27" s="110"/>
      <c r="D27" s="111"/>
    </row>
    <row r="28" spans="1:4" ht="12.75">
      <c r="A28" s="102" t="s">
        <v>399</v>
      </c>
      <c r="B28" s="101">
        <v>211</v>
      </c>
      <c r="C28" s="110">
        <v>92275725</v>
      </c>
      <c r="D28" s="111">
        <v>118256309</v>
      </c>
    </row>
    <row r="29" spans="1:4" ht="12.75">
      <c r="A29" s="102" t="s">
        <v>400</v>
      </c>
      <c r="B29" s="101">
        <v>212</v>
      </c>
      <c r="C29" s="110"/>
      <c r="D29" s="111"/>
    </row>
    <row r="30" spans="1:4" ht="12.75">
      <c r="A30" s="102" t="s">
        <v>401</v>
      </c>
      <c r="B30" s="101">
        <v>213</v>
      </c>
      <c r="C30" s="110">
        <v>6867734</v>
      </c>
      <c r="D30" s="111">
        <v>8223568</v>
      </c>
    </row>
    <row r="31" spans="1:4" ht="12.75">
      <c r="A31" s="102" t="s">
        <v>402</v>
      </c>
      <c r="B31" s="101">
        <v>214</v>
      </c>
      <c r="C31" s="110">
        <v>49726386</v>
      </c>
      <c r="D31" s="111">
        <v>46733519</v>
      </c>
    </row>
    <row r="32" spans="1:4" ht="12.75">
      <c r="A32" s="102" t="s">
        <v>403</v>
      </c>
      <c r="B32" s="101">
        <v>215</v>
      </c>
      <c r="C32" s="110">
        <v>47112447</v>
      </c>
      <c r="D32" s="111">
        <v>19151261</v>
      </c>
    </row>
    <row r="33" spans="1:4" ht="12.75">
      <c r="A33" s="102" t="s">
        <v>404</v>
      </c>
      <c r="B33" s="101">
        <v>216</v>
      </c>
      <c r="C33" s="110">
        <v>52127075</v>
      </c>
      <c r="D33" s="111">
        <v>65563010</v>
      </c>
    </row>
    <row r="34" spans="1:4" ht="12.75">
      <c r="A34" s="102" t="s">
        <v>405</v>
      </c>
      <c r="B34" s="101">
        <v>217</v>
      </c>
      <c r="C34" s="110">
        <v>101866</v>
      </c>
      <c r="D34" s="111">
        <v>122198</v>
      </c>
    </row>
    <row r="35" spans="1:4" ht="12.75">
      <c r="A35" s="102" t="s">
        <v>30</v>
      </c>
      <c r="B35" s="101">
        <v>218</v>
      </c>
      <c r="C35" s="110"/>
      <c r="D35" s="111"/>
    </row>
    <row r="36" spans="1:4" ht="12.75">
      <c r="A36" s="102" t="s">
        <v>406</v>
      </c>
      <c r="B36" s="101">
        <v>220</v>
      </c>
      <c r="C36" s="110">
        <v>10081258</v>
      </c>
      <c r="D36" s="111">
        <v>7990305</v>
      </c>
    </row>
    <row r="37" spans="1:4" ht="12.75">
      <c r="A37" s="102" t="s">
        <v>32</v>
      </c>
      <c r="B37" s="101">
        <v>230</v>
      </c>
      <c r="C37" s="110">
        <v>33512</v>
      </c>
      <c r="D37" s="111">
        <v>118118</v>
      </c>
    </row>
    <row r="38" spans="1:4" ht="12.75">
      <c r="A38" s="102" t="s">
        <v>6</v>
      </c>
      <c r="B38" s="101"/>
      <c r="C38" s="110"/>
      <c r="D38" s="111"/>
    </row>
    <row r="39" spans="1:4" ht="12.75">
      <c r="A39" s="102" t="s">
        <v>407</v>
      </c>
      <c r="B39" s="101">
        <v>231</v>
      </c>
      <c r="C39" s="110">
        <v>7</v>
      </c>
      <c r="D39" s="111"/>
    </row>
    <row r="40" spans="1:4" ht="12.75">
      <c r="A40" s="102" t="s">
        <v>408</v>
      </c>
      <c r="B40" s="101">
        <v>232</v>
      </c>
      <c r="C40" s="110"/>
      <c r="D40" s="111"/>
    </row>
    <row r="41" spans="1:4" ht="12.75">
      <c r="A41" s="102" t="s">
        <v>409</v>
      </c>
      <c r="B41" s="101">
        <v>233</v>
      </c>
      <c r="C41" s="110"/>
      <c r="D41" s="111"/>
    </row>
    <row r="42" spans="1:4" ht="12.75">
      <c r="A42" s="102" t="s">
        <v>410</v>
      </c>
      <c r="B42" s="101">
        <v>234</v>
      </c>
      <c r="C42" s="110">
        <v>12000</v>
      </c>
      <c r="D42" s="111"/>
    </row>
    <row r="43" spans="1:4" ht="12.75">
      <c r="A43" s="102" t="s">
        <v>37</v>
      </c>
      <c r="B43" s="101">
        <v>235</v>
      </c>
      <c r="C43" s="110">
        <v>21505</v>
      </c>
      <c r="D43" s="111">
        <v>118118</v>
      </c>
    </row>
    <row r="44" spans="1:4" ht="12.75">
      <c r="A44" s="102" t="s">
        <v>38</v>
      </c>
      <c r="B44" s="101">
        <v>240</v>
      </c>
      <c r="C44" s="110">
        <v>88480632</v>
      </c>
      <c r="D44" s="111">
        <v>113057637</v>
      </c>
    </row>
    <row r="45" spans="1:4" ht="12.75">
      <c r="A45" s="102" t="s">
        <v>6</v>
      </c>
      <c r="B45" s="101"/>
      <c r="C45" s="110"/>
      <c r="D45" s="111"/>
    </row>
    <row r="46" spans="1:4" ht="12.75">
      <c r="A46" s="102" t="s">
        <v>411</v>
      </c>
      <c r="B46" s="101">
        <v>241</v>
      </c>
      <c r="C46" s="110">
        <v>112911</v>
      </c>
      <c r="D46" s="111">
        <v>5110686</v>
      </c>
    </row>
    <row r="47" spans="1:4" ht="12.75">
      <c r="A47" s="102" t="s">
        <v>408</v>
      </c>
      <c r="B47" s="101">
        <v>242</v>
      </c>
      <c r="C47" s="110">
        <v>60251612</v>
      </c>
      <c r="D47" s="111">
        <v>24109695</v>
      </c>
    </row>
    <row r="48" spans="1:4" ht="12.75">
      <c r="A48" s="102" t="s">
        <v>412</v>
      </c>
      <c r="B48" s="101">
        <v>243</v>
      </c>
      <c r="C48" s="110"/>
      <c r="D48" s="111"/>
    </row>
    <row r="49" spans="1:4" ht="12.75">
      <c r="A49" s="102" t="s">
        <v>413</v>
      </c>
      <c r="B49" s="101">
        <v>244</v>
      </c>
      <c r="C49" s="110"/>
      <c r="D49" s="111"/>
    </row>
    <row r="50" spans="1:4" ht="12.75">
      <c r="A50" s="102" t="s">
        <v>410</v>
      </c>
      <c r="B50" s="101">
        <v>245</v>
      </c>
      <c r="C50" s="110">
        <v>245621143</v>
      </c>
      <c r="D50" s="111">
        <v>65135794</v>
      </c>
    </row>
    <row r="51" spans="1:4" ht="12.75">
      <c r="A51" s="102" t="s">
        <v>37</v>
      </c>
      <c r="B51" s="101">
        <v>246</v>
      </c>
      <c r="C51" s="110">
        <v>3553966</v>
      </c>
      <c r="D51" s="111">
        <v>18701462</v>
      </c>
    </row>
    <row r="52" spans="1:4" ht="12.75">
      <c r="A52" s="102" t="s">
        <v>414</v>
      </c>
      <c r="B52" s="101">
        <v>250</v>
      </c>
      <c r="C52" s="110">
        <v>676854</v>
      </c>
      <c r="D52" s="111">
        <v>14791262</v>
      </c>
    </row>
    <row r="53" spans="1:4" ht="12.75">
      <c r="A53" s="102" t="s">
        <v>6</v>
      </c>
      <c r="B53" s="101"/>
      <c r="C53" s="110"/>
      <c r="D53" s="111"/>
    </row>
    <row r="54" spans="1:4" ht="12.75">
      <c r="A54" s="102" t="s">
        <v>41</v>
      </c>
      <c r="B54" s="101">
        <v>251</v>
      </c>
      <c r="C54" s="110"/>
      <c r="D54" s="111"/>
    </row>
    <row r="55" spans="1:4" ht="12.75">
      <c r="A55" s="102" t="s">
        <v>42</v>
      </c>
      <c r="B55" s="101">
        <v>252</v>
      </c>
      <c r="C55" s="110"/>
      <c r="D55" s="111"/>
    </row>
    <row r="56" spans="1:4" ht="13.5" thickBot="1">
      <c r="A56" s="102" t="s">
        <v>43</v>
      </c>
      <c r="B56" s="101">
        <v>253</v>
      </c>
      <c r="C56" s="110">
        <v>676854</v>
      </c>
      <c r="D56" s="111">
        <v>14791262</v>
      </c>
    </row>
    <row r="57" spans="1:4" ht="13.5" thickBot="1">
      <c r="A57" s="41">
        <v>1</v>
      </c>
      <c r="B57" s="41">
        <v>2</v>
      </c>
      <c r="C57" s="120">
        <v>3</v>
      </c>
      <c r="D57" s="121">
        <v>4</v>
      </c>
    </row>
    <row r="58" spans="1:4" ht="12.75">
      <c r="A58" s="102" t="s">
        <v>44</v>
      </c>
      <c r="B58" s="101">
        <v>260</v>
      </c>
      <c r="C58" s="110">
        <v>292749</v>
      </c>
      <c r="D58" s="111">
        <v>12825587</v>
      </c>
    </row>
    <row r="59" spans="1:4" ht="12.75">
      <c r="A59" s="102" t="s">
        <v>6</v>
      </c>
      <c r="B59" s="101"/>
      <c r="C59" s="110"/>
      <c r="D59" s="111"/>
    </row>
    <row r="60" spans="1:4" ht="12.75">
      <c r="A60" s="102" t="s">
        <v>415</v>
      </c>
      <c r="B60" s="101">
        <v>261</v>
      </c>
      <c r="C60" s="110">
        <v>18616</v>
      </c>
      <c r="D60" s="111">
        <v>99695</v>
      </c>
    </row>
    <row r="61" spans="1:4" ht="12.75">
      <c r="A61" s="102" t="s">
        <v>416</v>
      </c>
      <c r="B61" s="101">
        <v>262</v>
      </c>
      <c r="C61" s="110">
        <v>249255</v>
      </c>
      <c r="D61" s="111">
        <v>12724852</v>
      </c>
    </row>
    <row r="62" spans="1:4" ht="12.75">
      <c r="A62" s="102" t="s">
        <v>417</v>
      </c>
      <c r="B62" s="101">
        <v>263</v>
      </c>
      <c r="C62" s="110"/>
      <c r="D62" s="111">
        <v>1033</v>
      </c>
    </row>
    <row r="63" spans="1:4" ht="12.75">
      <c r="A63" s="102" t="s">
        <v>418</v>
      </c>
      <c r="B63" s="101">
        <v>264</v>
      </c>
      <c r="C63" s="110">
        <v>24878</v>
      </c>
      <c r="D63" s="111">
        <v>7</v>
      </c>
    </row>
    <row r="64" spans="1:4" ht="12.75">
      <c r="A64" s="102" t="s">
        <v>49</v>
      </c>
      <c r="B64" s="101">
        <v>270</v>
      </c>
      <c r="C64" s="110">
        <v>59795165</v>
      </c>
      <c r="D64" s="111">
        <v>51684457</v>
      </c>
    </row>
    <row r="65" spans="1:4" ht="15">
      <c r="A65" s="104" t="s">
        <v>50</v>
      </c>
      <c r="B65" s="101">
        <v>290</v>
      </c>
      <c r="C65" s="110">
        <v>407571403</v>
      </c>
      <c r="D65" s="111">
        <v>458517231</v>
      </c>
    </row>
    <row r="66" spans="1:4" ht="15">
      <c r="A66" s="104" t="s">
        <v>51</v>
      </c>
      <c r="B66" s="101"/>
      <c r="C66" s="110"/>
      <c r="D66" s="111"/>
    </row>
    <row r="67" spans="1:4" ht="12.75">
      <c r="A67" s="102" t="s">
        <v>419</v>
      </c>
      <c r="B67" s="101">
        <v>310</v>
      </c>
      <c r="C67" s="110"/>
      <c r="D67" s="111"/>
    </row>
    <row r="68" spans="1:4" ht="12.75">
      <c r="A68" s="102" t="s">
        <v>53</v>
      </c>
      <c r="B68" s="101">
        <v>320</v>
      </c>
      <c r="C68" s="110"/>
      <c r="D68" s="111"/>
    </row>
    <row r="69" spans="1:4" ht="15" thickBot="1">
      <c r="A69" s="107" t="s">
        <v>54</v>
      </c>
      <c r="B69" s="103">
        <v>390</v>
      </c>
      <c r="C69" s="112"/>
      <c r="D69" s="113"/>
    </row>
    <row r="70" spans="1:4" ht="15" thickBot="1">
      <c r="A70" s="14" t="s">
        <v>55</v>
      </c>
      <c r="B70" s="41">
        <v>399</v>
      </c>
      <c r="C70" s="120">
        <v>831178165</v>
      </c>
      <c r="D70" s="121">
        <v>719594485</v>
      </c>
    </row>
    <row r="71" spans="1:4" ht="13.5" thickBot="1">
      <c r="A71" s="15"/>
      <c r="B71" s="15"/>
      <c r="C71" s="122"/>
      <c r="D71" s="123"/>
    </row>
    <row r="72" spans="1:4" ht="15.75" thickBot="1">
      <c r="A72" s="129" t="s">
        <v>56</v>
      </c>
      <c r="B72" s="130" t="s">
        <v>1</v>
      </c>
      <c r="C72" s="131" t="s">
        <v>2</v>
      </c>
      <c r="D72" s="132" t="s">
        <v>3</v>
      </c>
    </row>
    <row r="73" spans="1:4" ht="13.5" thickBot="1">
      <c r="A73" s="41">
        <v>1</v>
      </c>
      <c r="B73" s="41">
        <v>2</v>
      </c>
      <c r="C73" s="120">
        <v>3</v>
      </c>
      <c r="D73" s="121">
        <v>4</v>
      </c>
    </row>
    <row r="74" spans="1:4" ht="15">
      <c r="A74" s="124" t="s">
        <v>57</v>
      </c>
      <c r="B74" s="125"/>
      <c r="C74" s="126"/>
      <c r="D74" s="127"/>
    </row>
    <row r="75" spans="1:4" ht="12.75">
      <c r="A75" s="102" t="s">
        <v>420</v>
      </c>
      <c r="B75" s="101">
        <v>410</v>
      </c>
      <c r="C75" s="110">
        <v>249605</v>
      </c>
      <c r="D75" s="111">
        <v>249605</v>
      </c>
    </row>
    <row r="76" spans="1:4" ht="12.75">
      <c r="A76" s="102" t="s">
        <v>421</v>
      </c>
      <c r="B76" s="101">
        <v>420</v>
      </c>
      <c r="C76" s="110">
        <v>309196958</v>
      </c>
      <c r="D76" s="111">
        <v>320549228</v>
      </c>
    </row>
    <row r="77" spans="1:4" ht="12.75">
      <c r="A77" s="102" t="s">
        <v>422</v>
      </c>
      <c r="B77" s="101">
        <v>430</v>
      </c>
      <c r="C77" s="110">
        <v>62401</v>
      </c>
      <c r="D77" s="111">
        <v>62401</v>
      </c>
    </row>
    <row r="78" spans="1:4" ht="12.75">
      <c r="A78" s="102" t="s">
        <v>61</v>
      </c>
      <c r="B78" s="101"/>
      <c r="C78" s="110"/>
      <c r="D78" s="111"/>
    </row>
    <row r="79" spans="1:4" ht="12.75">
      <c r="A79" s="102" t="s">
        <v>62</v>
      </c>
      <c r="B79" s="101">
        <v>431</v>
      </c>
      <c r="C79" s="110"/>
      <c r="D79" s="111"/>
    </row>
    <row r="80" spans="1:4" ht="12.75">
      <c r="A80" s="102" t="s">
        <v>63</v>
      </c>
      <c r="B80" s="101">
        <v>432</v>
      </c>
      <c r="C80" s="110">
        <v>62401</v>
      </c>
      <c r="D80" s="111">
        <v>62401</v>
      </c>
    </row>
    <row r="81" spans="1:4" ht="12.75">
      <c r="A81" s="102" t="s">
        <v>423</v>
      </c>
      <c r="B81" s="101">
        <v>440</v>
      </c>
      <c r="C81" s="110"/>
      <c r="D81" s="111"/>
    </row>
    <row r="82" spans="1:4" ht="12.75">
      <c r="A82" s="102" t="s">
        <v>424</v>
      </c>
      <c r="B82" s="101">
        <v>450</v>
      </c>
      <c r="C82" s="110">
        <v>157057902</v>
      </c>
      <c r="D82" s="111">
        <v>6577326</v>
      </c>
    </row>
    <row r="83" spans="1:4" ht="12.75">
      <c r="A83" s="102" t="s">
        <v>425</v>
      </c>
      <c r="B83" s="101">
        <v>460</v>
      </c>
      <c r="C83" s="110">
        <v>866319</v>
      </c>
      <c r="D83" s="111">
        <v>11652451</v>
      </c>
    </row>
    <row r="84" spans="1:4" ht="12.75">
      <c r="A84" s="102" t="s">
        <v>426</v>
      </c>
      <c r="B84" s="101">
        <v>470</v>
      </c>
      <c r="C84" s="110"/>
      <c r="D84" s="111"/>
    </row>
    <row r="85" spans="1:4" ht="12.75">
      <c r="A85" s="102" t="s">
        <v>68</v>
      </c>
      <c r="B85" s="101">
        <v>480</v>
      </c>
      <c r="C85" s="110"/>
      <c r="D85" s="111">
        <v>2154374</v>
      </c>
    </row>
    <row r="86" spans="1:4" ht="12.75">
      <c r="A86" s="102" t="s">
        <v>69</v>
      </c>
      <c r="B86" s="101">
        <v>490</v>
      </c>
      <c r="C86" s="110">
        <v>467433185</v>
      </c>
      <c r="D86" s="111">
        <v>341245385</v>
      </c>
    </row>
    <row r="87" spans="1:4" ht="15">
      <c r="A87" s="105" t="s">
        <v>70</v>
      </c>
      <c r="B87" s="101"/>
      <c r="C87" s="110"/>
      <c r="D87" s="111"/>
    </row>
    <row r="88" spans="1:4" ht="12.75">
      <c r="A88" s="102" t="s">
        <v>428</v>
      </c>
      <c r="B88" s="101">
        <v>510</v>
      </c>
      <c r="C88" s="110">
        <v>290000</v>
      </c>
      <c r="D88" s="111"/>
    </row>
    <row r="89" spans="1:4" ht="12.75">
      <c r="A89" s="102" t="s">
        <v>61</v>
      </c>
      <c r="B89" s="101"/>
      <c r="C89" s="110"/>
      <c r="D89" s="111"/>
    </row>
    <row r="90" spans="1:4" ht="12.75">
      <c r="A90" s="102" t="s">
        <v>72</v>
      </c>
      <c r="B90" s="101">
        <v>511</v>
      </c>
      <c r="C90" s="110">
        <v>290000</v>
      </c>
      <c r="D90" s="111"/>
    </row>
    <row r="91" spans="1:4" ht="12.75">
      <c r="A91" s="102" t="s">
        <v>73</v>
      </c>
      <c r="B91" s="101">
        <v>512</v>
      </c>
      <c r="C91" s="110"/>
      <c r="D91" s="111"/>
    </row>
    <row r="92" spans="1:4" ht="12.75">
      <c r="A92" s="102" t="s">
        <v>74</v>
      </c>
      <c r="B92" s="101">
        <v>520</v>
      </c>
      <c r="C92" s="110">
        <v>2641</v>
      </c>
      <c r="D92" s="111">
        <v>2641</v>
      </c>
    </row>
    <row r="93" spans="1:4" ht="15">
      <c r="A93" s="104" t="s">
        <v>75</v>
      </c>
      <c r="B93" s="101">
        <v>590</v>
      </c>
      <c r="C93" s="110">
        <v>292641</v>
      </c>
      <c r="D93" s="111">
        <v>2641</v>
      </c>
    </row>
    <row r="94" spans="1:4" ht="15">
      <c r="A94" s="105" t="s">
        <v>76</v>
      </c>
      <c r="B94" s="101"/>
      <c r="C94" s="110"/>
      <c r="D94" s="111"/>
    </row>
    <row r="95" spans="1:4" ht="12.75">
      <c r="A95" s="102" t="s">
        <v>427</v>
      </c>
      <c r="B95" s="101">
        <v>610</v>
      </c>
      <c r="C95" s="110">
        <v>29375585</v>
      </c>
      <c r="D95" s="111">
        <v>33886800</v>
      </c>
    </row>
    <row r="96" spans="1:4" ht="12.75">
      <c r="A96" s="102" t="s">
        <v>61</v>
      </c>
      <c r="B96" s="101"/>
      <c r="C96" s="110"/>
      <c r="D96" s="111"/>
    </row>
    <row r="97" spans="1:4" ht="12.75">
      <c r="A97" s="102" t="s">
        <v>77</v>
      </c>
      <c r="B97" s="101">
        <v>611</v>
      </c>
      <c r="C97" s="110">
        <v>29359049</v>
      </c>
      <c r="D97" s="111">
        <v>33886800</v>
      </c>
    </row>
    <row r="98" spans="1:4" ht="12.75">
      <c r="A98" s="102" t="s">
        <v>78</v>
      </c>
      <c r="B98" s="101">
        <v>612</v>
      </c>
      <c r="C98" s="110">
        <v>16536</v>
      </c>
      <c r="D98" s="111"/>
    </row>
    <row r="99" spans="1:4" ht="12.75">
      <c r="A99" s="102" t="s">
        <v>79</v>
      </c>
      <c r="B99" s="101">
        <v>620</v>
      </c>
      <c r="C99" s="110">
        <v>334031971</v>
      </c>
      <c r="D99" s="111">
        <v>344438146</v>
      </c>
    </row>
    <row r="100" spans="1:4" ht="12.75">
      <c r="A100" s="102" t="s">
        <v>61</v>
      </c>
      <c r="B100" s="101"/>
      <c r="C100" s="110"/>
      <c r="D100" s="111"/>
    </row>
    <row r="101" spans="1:4" ht="12.75">
      <c r="A101" s="102" t="s">
        <v>429</v>
      </c>
      <c r="B101" s="101">
        <v>621</v>
      </c>
      <c r="C101" s="110">
        <v>90572438</v>
      </c>
      <c r="D101" s="111">
        <v>94331861</v>
      </c>
    </row>
    <row r="102" spans="1:4" ht="12.75">
      <c r="A102" s="102" t="s">
        <v>430</v>
      </c>
      <c r="B102" s="101">
        <v>622</v>
      </c>
      <c r="C102" s="110"/>
      <c r="D102" s="111">
        <v>1041354</v>
      </c>
    </row>
    <row r="103" spans="1:4" ht="12.75">
      <c r="A103" s="102" t="s">
        <v>431</v>
      </c>
      <c r="B103" s="101">
        <v>623</v>
      </c>
      <c r="C103" s="110"/>
      <c r="D103" s="111"/>
    </row>
    <row r="104" spans="1:4" ht="12.75">
      <c r="A104" s="102" t="s">
        <v>432</v>
      </c>
      <c r="B104" s="101">
        <v>624</v>
      </c>
      <c r="C104" s="110">
        <v>10700420</v>
      </c>
      <c r="D104" s="111">
        <v>11273391</v>
      </c>
    </row>
    <row r="105" spans="1:4" ht="12.75">
      <c r="A105" s="102" t="s">
        <v>433</v>
      </c>
      <c r="B105" s="101">
        <v>625</v>
      </c>
      <c r="C105" s="110">
        <v>20352869</v>
      </c>
      <c r="D105" s="111">
        <v>48673123</v>
      </c>
    </row>
    <row r="106" spans="1:4" ht="12.75">
      <c r="A106" s="102" t="s">
        <v>434</v>
      </c>
      <c r="B106" s="101">
        <v>626</v>
      </c>
      <c r="C106" s="110">
        <v>53872269</v>
      </c>
      <c r="D106" s="111">
        <v>110163167</v>
      </c>
    </row>
    <row r="107" spans="1:4" ht="12.75">
      <c r="A107" s="102" t="s">
        <v>435</v>
      </c>
      <c r="B107" s="101">
        <v>627</v>
      </c>
      <c r="C107" s="110">
        <v>113480064</v>
      </c>
      <c r="D107" s="111">
        <v>50550050</v>
      </c>
    </row>
    <row r="108" spans="1:4" ht="12.75">
      <c r="A108" s="102" t="s">
        <v>87</v>
      </c>
      <c r="B108" s="101">
        <v>628</v>
      </c>
      <c r="C108" s="110">
        <v>45053911</v>
      </c>
      <c r="D108" s="111">
        <v>28405200</v>
      </c>
    </row>
    <row r="109" spans="1:4" ht="12.75">
      <c r="A109" s="102" t="s">
        <v>436</v>
      </c>
      <c r="B109" s="101">
        <v>630</v>
      </c>
      <c r="C109" s="110"/>
      <c r="D109" s="111"/>
    </row>
    <row r="110" spans="1:4" ht="12.75">
      <c r="A110" s="102" t="s">
        <v>437</v>
      </c>
      <c r="B110" s="101">
        <v>640</v>
      </c>
      <c r="C110" s="110">
        <v>20890</v>
      </c>
      <c r="D110" s="111">
        <v>21513</v>
      </c>
    </row>
    <row r="111" spans="1:4" ht="13.5" thickBot="1">
      <c r="A111" s="102" t="s">
        <v>438</v>
      </c>
      <c r="B111" s="101">
        <v>650</v>
      </c>
      <c r="C111" s="110"/>
      <c r="D111" s="111"/>
    </row>
    <row r="112" spans="1:4" ht="13.5" thickBot="1">
      <c r="A112" s="41">
        <v>1</v>
      </c>
      <c r="B112" s="41">
        <v>2</v>
      </c>
      <c r="C112" s="120">
        <v>3</v>
      </c>
      <c r="D112" s="121">
        <v>4</v>
      </c>
    </row>
    <row r="113" spans="1:4" ht="12.75">
      <c r="A113" s="102" t="s">
        <v>439</v>
      </c>
      <c r="B113" s="101">
        <v>660</v>
      </c>
      <c r="C113" s="110"/>
      <c r="D113" s="111"/>
    </row>
    <row r="114" spans="1:4" ht="12.75">
      <c r="A114" s="106" t="s">
        <v>92</v>
      </c>
      <c r="B114" s="103">
        <v>670</v>
      </c>
      <c r="C114" s="112">
        <v>23893</v>
      </c>
      <c r="D114" s="113"/>
    </row>
    <row r="115" spans="1:7" s="64" customFormat="1" ht="15" thickBot="1">
      <c r="A115" s="107" t="s">
        <v>93</v>
      </c>
      <c r="B115" s="92">
        <v>690</v>
      </c>
      <c r="C115" s="96">
        <v>363452339</v>
      </c>
      <c r="D115" s="114">
        <v>378346459</v>
      </c>
      <c r="G115" s="161"/>
    </row>
    <row r="116" spans="1:7" s="5" customFormat="1" ht="15.75" thickBot="1">
      <c r="A116" s="108" t="s">
        <v>55</v>
      </c>
      <c r="B116" s="98">
        <v>699</v>
      </c>
      <c r="C116" s="115">
        <v>831178165</v>
      </c>
      <c r="D116" s="116">
        <v>719594485</v>
      </c>
      <c r="G116" s="162"/>
    </row>
    <row r="122" ht="14.25" customHeight="1"/>
    <row r="123" ht="13.5" customHeight="1"/>
  </sheetData>
  <printOptions/>
  <pageMargins left="0.58" right="0.39" top="0.88" bottom="0.9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D22"/>
  <sheetViews>
    <sheetView workbookViewId="0" topLeftCell="A1">
      <selection activeCell="A14" sqref="A14"/>
      <selection activeCell="A4" sqref="A4:A22"/>
    </sheetView>
  </sheetViews>
  <sheetFormatPr defaultColWidth="9.00390625" defaultRowHeight="12.75"/>
  <cols>
    <col min="1" max="1" width="44.50390625" style="0" customWidth="1"/>
    <col min="2" max="2" width="10.50390625" style="0" bestFit="1" customWidth="1"/>
    <col min="3" max="4" width="15.75390625" style="0" customWidth="1"/>
  </cols>
  <sheetData>
    <row r="1" ht="15">
      <c r="A1" s="157" t="s">
        <v>441</v>
      </c>
    </row>
    <row r="2" spans="1:4" s="64" customFormat="1" ht="15">
      <c r="A2" s="223"/>
      <c r="B2" s="224"/>
      <c r="D2" s="224" t="s">
        <v>440</v>
      </c>
    </row>
    <row r="3" spans="1:3" s="8" customFormat="1" ht="15.75" thickBot="1">
      <c r="A3" s="198"/>
      <c r="B3" s="198"/>
      <c r="C3" s="198"/>
    </row>
    <row r="4" spans="1:4" s="199" customFormat="1" ht="13.5" thickBot="1">
      <c r="A4" s="98" t="s">
        <v>94</v>
      </c>
      <c r="B4" s="98" t="s">
        <v>1</v>
      </c>
      <c r="C4" s="222" t="s">
        <v>96</v>
      </c>
      <c r="D4" s="98" t="s">
        <v>95</v>
      </c>
    </row>
    <row r="5" spans="1:4" ht="13.5" thickBot="1">
      <c r="A5" s="41">
        <v>1</v>
      </c>
      <c r="B5" s="41">
        <v>2</v>
      </c>
      <c r="C5" s="138">
        <v>4</v>
      </c>
      <c r="D5" s="41">
        <v>3</v>
      </c>
    </row>
    <row r="6" spans="1:4" ht="12.75">
      <c r="A6" s="117" t="s">
        <v>373</v>
      </c>
      <c r="B6" s="117">
        <v>10</v>
      </c>
      <c r="C6" s="141">
        <v>712452287</v>
      </c>
      <c r="D6" s="225">
        <v>904042928</v>
      </c>
    </row>
    <row r="7" spans="1:4" ht="12.75">
      <c r="A7" s="102" t="s">
        <v>97</v>
      </c>
      <c r="B7" s="102">
        <v>20</v>
      </c>
      <c r="C7" s="109">
        <v>668220746</v>
      </c>
      <c r="D7" s="226">
        <v>767658242</v>
      </c>
    </row>
    <row r="8" spans="1:4" ht="12.75">
      <c r="A8" s="102" t="s">
        <v>98</v>
      </c>
      <c r="B8" s="102">
        <v>30</v>
      </c>
      <c r="C8" s="109">
        <v>11238650</v>
      </c>
      <c r="D8" s="226">
        <v>8316752</v>
      </c>
    </row>
    <row r="9" spans="1:4" ht="12.75">
      <c r="A9" s="102" t="s">
        <v>99</v>
      </c>
      <c r="B9" s="102">
        <v>40</v>
      </c>
      <c r="C9" s="109"/>
      <c r="D9" s="226"/>
    </row>
    <row r="10" spans="1:4" ht="12.75">
      <c r="A10" s="102" t="s">
        <v>100</v>
      </c>
      <c r="B10" s="102">
        <v>50</v>
      </c>
      <c r="C10" s="109">
        <v>32992891</v>
      </c>
      <c r="D10" s="226">
        <v>128067934</v>
      </c>
    </row>
    <row r="11" spans="1:4" ht="12.75">
      <c r="A11" s="102" t="s">
        <v>101</v>
      </c>
      <c r="B11" s="102">
        <v>60</v>
      </c>
      <c r="C11" s="109">
        <v>27956</v>
      </c>
      <c r="D11" s="226"/>
    </row>
    <row r="12" spans="1:4" ht="12.75">
      <c r="A12" s="102" t="s">
        <v>102</v>
      </c>
      <c r="B12" s="102">
        <v>70</v>
      </c>
      <c r="C12" s="109"/>
      <c r="D12" s="226"/>
    </row>
    <row r="13" spans="1:4" ht="12.75">
      <c r="A13" s="102" t="s">
        <v>103</v>
      </c>
      <c r="B13" s="102">
        <v>80</v>
      </c>
      <c r="C13" s="109">
        <v>29848</v>
      </c>
      <c r="D13" s="226">
        <v>58642</v>
      </c>
    </row>
    <row r="14" spans="1:4" ht="12.75">
      <c r="A14" s="102" t="s">
        <v>104</v>
      </c>
      <c r="B14" s="102">
        <v>90</v>
      </c>
      <c r="C14" s="109">
        <v>4008134</v>
      </c>
      <c r="D14" s="226">
        <v>22845301</v>
      </c>
    </row>
    <row r="15" spans="1:4" ht="12.75">
      <c r="A15" s="102" t="s">
        <v>105</v>
      </c>
      <c r="B15" s="102">
        <v>100</v>
      </c>
      <c r="C15" s="109">
        <v>17511339</v>
      </c>
      <c r="D15" s="226">
        <v>41256178</v>
      </c>
    </row>
    <row r="16" spans="1:4" ht="12.75">
      <c r="A16" s="102" t="s">
        <v>106</v>
      </c>
      <c r="B16" s="102">
        <v>110</v>
      </c>
      <c r="C16" s="109">
        <v>19547490</v>
      </c>
      <c r="D16" s="226">
        <v>109715699</v>
      </c>
    </row>
    <row r="17" spans="1:4" ht="12.75">
      <c r="A17" s="102" t="s">
        <v>107</v>
      </c>
      <c r="B17" s="102">
        <v>120</v>
      </c>
      <c r="C17" s="109">
        <v>1764054</v>
      </c>
      <c r="D17" s="226">
        <v>4319352</v>
      </c>
    </row>
    <row r="18" spans="1:4" ht="12.75">
      <c r="A18" s="102" t="s">
        <v>108</v>
      </c>
      <c r="B18" s="102">
        <v>130</v>
      </c>
      <c r="C18" s="109">
        <v>202958</v>
      </c>
      <c r="D18" s="226">
        <v>219822</v>
      </c>
    </row>
    <row r="19" spans="1:4" ht="12.75">
      <c r="A19" s="102" t="s">
        <v>109</v>
      </c>
      <c r="B19" s="102">
        <v>140</v>
      </c>
      <c r="C19" s="109">
        <v>21108586</v>
      </c>
      <c r="D19" s="226">
        <v>113815229</v>
      </c>
    </row>
    <row r="20" spans="1:4" ht="12.75">
      <c r="A20" s="102" t="s">
        <v>110</v>
      </c>
      <c r="B20" s="102">
        <v>150</v>
      </c>
      <c r="C20" s="109">
        <v>14368351</v>
      </c>
      <c r="D20" s="226">
        <v>47676016</v>
      </c>
    </row>
    <row r="21" spans="1:4" ht="12.75">
      <c r="A21" s="102" t="s">
        <v>111</v>
      </c>
      <c r="B21" s="102">
        <v>160</v>
      </c>
      <c r="C21" s="109"/>
      <c r="D21" s="226">
        <v>63984839</v>
      </c>
    </row>
    <row r="22" spans="1:4" ht="13.5" thickBot="1">
      <c r="A22" s="140" t="s">
        <v>112</v>
      </c>
      <c r="B22" s="140">
        <v>170</v>
      </c>
      <c r="C22" s="142"/>
      <c r="D22" s="227">
        <v>2154374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D22"/>
  <sheetViews>
    <sheetView workbookViewId="0" topLeftCell="A1">
      <selection activeCell="A1" sqref="A1:D22"/>
      <selection activeCell="B4" sqref="B4"/>
    </sheetView>
  </sheetViews>
  <sheetFormatPr defaultColWidth="9.00390625" defaultRowHeight="12.75"/>
  <cols>
    <col min="1" max="1" width="53.50390625" style="0" bestFit="1" customWidth="1"/>
    <col min="2" max="2" width="5.125" style="2" customWidth="1"/>
    <col min="3" max="4" width="13.75390625" style="0" customWidth="1"/>
  </cols>
  <sheetData>
    <row r="1" spans="1:4" ht="15">
      <c r="A1" s="151" t="s">
        <v>113</v>
      </c>
      <c r="B1" s="22"/>
      <c r="C1" s="22"/>
      <c r="D1" s="22"/>
    </row>
    <row r="2" spans="1:4" ht="13.5" thickBot="1">
      <c r="A2" s="8"/>
      <c r="B2" s="22"/>
      <c r="C2" s="8"/>
      <c r="D2" s="8"/>
    </row>
    <row r="3" spans="1:4" ht="15.75" thickBot="1">
      <c r="A3" s="100" t="s">
        <v>94</v>
      </c>
      <c r="B3" s="137"/>
      <c r="C3" s="143"/>
      <c r="D3" s="144"/>
    </row>
    <row r="4" spans="1:4" ht="13.5" thickBot="1">
      <c r="A4" s="139">
        <v>1</v>
      </c>
      <c r="B4" s="137">
        <v>2</v>
      </c>
      <c r="C4" s="143">
        <v>3</v>
      </c>
      <c r="D4" s="144">
        <v>4</v>
      </c>
    </row>
    <row r="5" spans="1:4" ht="12.75">
      <c r="A5" s="145" t="s">
        <v>114</v>
      </c>
      <c r="B5" s="146">
        <v>10</v>
      </c>
      <c r="C5" s="147">
        <v>292749</v>
      </c>
      <c r="D5" s="148"/>
    </row>
    <row r="6" spans="1:4" ht="12.75">
      <c r="A6" s="102" t="s">
        <v>115</v>
      </c>
      <c r="B6" s="101">
        <v>20</v>
      </c>
      <c r="C6" s="149">
        <v>187394495</v>
      </c>
      <c r="D6" s="109">
        <v>75778674</v>
      </c>
    </row>
    <row r="7" spans="1:4" ht="12.75">
      <c r="A7" s="102" t="s">
        <v>61</v>
      </c>
      <c r="B7" s="101"/>
      <c r="C7" s="149"/>
      <c r="D7" s="109"/>
    </row>
    <row r="8" spans="1:4" ht="12.75">
      <c r="A8" s="102" t="s">
        <v>116</v>
      </c>
      <c r="B8" s="101">
        <v>30</v>
      </c>
      <c r="C8" s="149">
        <v>175583039</v>
      </c>
      <c r="D8" s="109">
        <v>71913220</v>
      </c>
    </row>
    <row r="9" spans="1:4" ht="12.75">
      <c r="A9" s="102" t="s">
        <v>117</v>
      </c>
      <c r="B9" s="101">
        <v>40</v>
      </c>
      <c r="C9" s="149">
        <v>874275</v>
      </c>
      <c r="D9" s="109"/>
    </row>
    <row r="10" spans="1:4" ht="12.75">
      <c r="A10" s="102" t="s">
        <v>118</v>
      </c>
      <c r="B10" s="101">
        <v>50</v>
      </c>
      <c r="C10" s="149">
        <v>1123294</v>
      </c>
      <c r="D10" s="109">
        <v>1072189</v>
      </c>
    </row>
    <row r="11" spans="1:4" ht="12.75">
      <c r="A11" s="102" t="s">
        <v>119</v>
      </c>
      <c r="B11" s="101">
        <v>60</v>
      </c>
      <c r="C11" s="149">
        <v>7628000</v>
      </c>
      <c r="D11" s="109">
        <v>2394000</v>
      </c>
    </row>
    <row r="12" spans="1:4" ht="12.75">
      <c r="A12" s="102" t="s">
        <v>120</v>
      </c>
      <c r="B12" s="101">
        <v>70</v>
      </c>
      <c r="C12" s="149"/>
      <c r="D12" s="109"/>
    </row>
    <row r="13" spans="1:4" ht="12.75">
      <c r="A13" s="102" t="s">
        <v>121</v>
      </c>
      <c r="B13" s="101">
        <v>80</v>
      </c>
      <c r="C13" s="149">
        <v>1250000</v>
      </c>
      <c r="D13" s="109"/>
    </row>
    <row r="14" spans="1:4" ht="12.75">
      <c r="A14" s="102" t="s">
        <v>122</v>
      </c>
      <c r="B14" s="101">
        <v>90</v>
      </c>
      <c r="C14" s="149"/>
      <c r="D14" s="109"/>
    </row>
    <row r="15" spans="1:4" ht="12.75">
      <c r="A15" s="102" t="s">
        <v>123</v>
      </c>
      <c r="B15" s="101">
        <v>100</v>
      </c>
      <c r="C15" s="149"/>
      <c r="D15" s="109"/>
    </row>
    <row r="16" spans="1:4" ht="12.75">
      <c r="A16" s="102" t="s">
        <v>124</v>
      </c>
      <c r="B16" s="101">
        <v>110</v>
      </c>
      <c r="C16" s="149">
        <v>935887</v>
      </c>
      <c r="D16" s="109">
        <v>399265</v>
      </c>
    </row>
    <row r="17" spans="1:4" ht="12.75">
      <c r="A17" s="102" t="s">
        <v>125</v>
      </c>
      <c r="B17" s="101">
        <v>120</v>
      </c>
      <c r="C17" s="149">
        <v>174861657</v>
      </c>
      <c r="D17" s="109">
        <v>7532284</v>
      </c>
    </row>
    <row r="18" spans="1:4" ht="12.75">
      <c r="A18" s="102" t="s">
        <v>61</v>
      </c>
      <c r="B18" s="101"/>
      <c r="C18" s="149"/>
      <c r="D18" s="109"/>
    </row>
    <row r="19" spans="1:4" ht="12.75">
      <c r="A19" s="102" t="s">
        <v>126</v>
      </c>
      <c r="B19" s="101">
        <v>130</v>
      </c>
      <c r="C19" s="149">
        <v>57065350</v>
      </c>
      <c r="D19" s="109">
        <v>116779</v>
      </c>
    </row>
    <row r="20" spans="1:4" ht="12.75">
      <c r="A20" s="102" t="s">
        <v>127</v>
      </c>
      <c r="B20" s="101">
        <v>140</v>
      </c>
      <c r="C20" s="149">
        <v>86784021</v>
      </c>
      <c r="D20" s="109"/>
    </row>
    <row r="21" spans="1:4" ht="12.75">
      <c r="A21" s="102" t="s">
        <v>128</v>
      </c>
      <c r="B21" s="101">
        <v>150</v>
      </c>
      <c r="C21" s="149">
        <v>6647369</v>
      </c>
      <c r="D21" s="109"/>
    </row>
    <row r="22" spans="1:4" ht="13.5" thickBot="1">
      <c r="A22" s="140" t="s">
        <v>129</v>
      </c>
      <c r="B22" s="128">
        <v>160</v>
      </c>
      <c r="C22" s="150">
        <v>2371102</v>
      </c>
      <c r="D22" s="142">
        <v>1362778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F149"/>
  <sheetViews>
    <sheetView tabSelected="1" workbookViewId="0" topLeftCell="A126">
      <selection activeCell="B25" sqref="B25"/>
      <selection activeCell="F3" sqref="F3"/>
    </sheetView>
  </sheetViews>
  <sheetFormatPr defaultColWidth="9.00390625" defaultRowHeight="12.75"/>
  <cols>
    <col min="1" max="1" width="51.50390625" style="0" customWidth="1"/>
    <col min="2" max="2" width="8.50390625" style="0" customWidth="1"/>
    <col min="3" max="3" width="15.875" style="0" bestFit="1" customWidth="1"/>
    <col min="4" max="4" width="14.50390625" style="0" bestFit="1" customWidth="1"/>
    <col min="5" max="5" width="15.625" style="0" bestFit="1" customWidth="1"/>
    <col min="6" max="6" width="16.375" style="0" bestFit="1" customWidth="1"/>
  </cols>
  <sheetData>
    <row r="1" spans="1:6" ht="15">
      <c r="A1" s="1" t="s">
        <v>442</v>
      </c>
      <c r="B1" s="2"/>
      <c r="C1" s="2"/>
      <c r="D1" s="2"/>
      <c r="E1" s="2"/>
      <c r="F1" s="2"/>
    </row>
    <row r="2" ht="12.75">
      <c r="F2" t="s">
        <v>443</v>
      </c>
    </row>
    <row r="3" spans="1:6" ht="15">
      <c r="A3" s="1" t="s">
        <v>130</v>
      </c>
      <c r="B3" s="3"/>
      <c r="C3" s="3"/>
      <c r="D3" s="3"/>
      <c r="E3" s="3"/>
      <c r="F3" s="3"/>
    </row>
    <row r="4" spans="1:6" ht="15">
      <c r="A4" s="4"/>
      <c r="B4" s="3"/>
      <c r="C4" s="3"/>
      <c r="D4" s="3"/>
      <c r="E4" s="3"/>
      <c r="F4" s="3"/>
    </row>
    <row r="5" spans="1:6" ht="12.75">
      <c r="A5" s="69" t="s">
        <v>131</v>
      </c>
      <c r="B5" s="69" t="s">
        <v>1</v>
      </c>
      <c r="C5" s="69" t="s">
        <v>132</v>
      </c>
      <c r="D5" s="69" t="s">
        <v>133</v>
      </c>
      <c r="E5" s="69" t="s">
        <v>134</v>
      </c>
      <c r="F5" s="69" t="s">
        <v>135</v>
      </c>
    </row>
    <row r="6" spans="1:6" ht="12.7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</row>
    <row r="7" spans="1:6" ht="12.75">
      <c r="A7" s="62" t="s">
        <v>136</v>
      </c>
      <c r="B7" s="62">
        <v>110</v>
      </c>
      <c r="C7" s="66">
        <v>290000</v>
      </c>
      <c r="D7" s="66"/>
      <c r="E7" s="66">
        <v>290000</v>
      </c>
      <c r="F7" s="66"/>
    </row>
    <row r="8" spans="1:6" ht="12.75">
      <c r="A8" s="62" t="s">
        <v>137</v>
      </c>
      <c r="B8" s="62">
        <v>111</v>
      </c>
      <c r="C8" s="66"/>
      <c r="D8" s="66"/>
      <c r="E8" s="66"/>
      <c r="F8" s="66"/>
    </row>
    <row r="9" spans="1:6" ht="12.75">
      <c r="A9" s="62" t="s">
        <v>138</v>
      </c>
      <c r="B9" s="62">
        <v>120</v>
      </c>
      <c r="C9" s="66"/>
      <c r="D9" s="66"/>
      <c r="E9" s="66"/>
      <c r="F9" s="66"/>
    </row>
    <row r="10" spans="1:6" ht="12.75">
      <c r="A10" s="62" t="s">
        <v>137</v>
      </c>
      <c r="B10" s="62">
        <v>121</v>
      </c>
      <c r="C10" s="66"/>
      <c r="D10" s="66"/>
      <c r="E10" s="66"/>
      <c r="F10" s="66"/>
    </row>
    <row r="11" spans="1:6" ht="12.75">
      <c r="A11" s="62" t="s">
        <v>139</v>
      </c>
      <c r="B11" s="62">
        <v>130</v>
      </c>
      <c r="C11" s="66">
        <v>29359049</v>
      </c>
      <c r="D11" s="66">
        <v>29349794</v>
      </c>
      <c r="E11" s="66">
        <v>24822043</v>
      </c>
      <c r="F11" s="66">
        <v>33886800</v>
      </c>
    </row>
    <row r="12" spans="1:6" ht="12.75">
      <c r="A12" s="62" t="s">
        <v>137</v>
      </c>
      <c r="B12" s="62">
        <v>131</v>
      </c>
      <c r="C12" s="66">
        <v>3299214</v>
      </c>
      <c r="D12" s="66"/>
      <c r="E12" s="66"/>
      <c r="F12" s="66">
        <v>3299214</v>
      </c>
    </row>
    <row r="13" spans="1:6" ht="12.75">
      <c r="A13" s="62" t="s">
        <v>140</v>
      </c>
      <c r="B13" s="62">
        <v>140</v>
      </c>
      <c r="C13" s="66"/>
      <c r="D13" s="66"/>
      <c r="E13" s="66"/>
      <c r="F13" s="66"/>
    </row>
    <row r="14" spans="1:6" ht="12.75">
      <c r="A14" s="62" t="s">
        <v>137</v>
      </c>
      <c r="B14" s="62">
        <v>141</v>
      </c>
      <c r="C14" s="62"/>
      <c r="D14" s="62"/>
      <c r="E14" s="62"/>
      <c r="F14" s="62"/>
    </row>
    <row r="15" spans="1:6" ht="12.75">
      <c r="A15" s="62" t="s">
        <v>141</v>
      </c>
      <c r="B15" s="62">
        <v>150</v>
      </c>
      <c r="C15" s="62"/>
      <c r="D15" s="62"/>
      <c r="E15" s="62"/>
      <c r="F15" s="62"/>
    </row>
    <row r="16" spans="1:6" ht="12.75">
      <c r="A16" s="62" t="s">
        <v>137</v>
      </c>
      <c r="B16" s="62">
        <v>151</v>
      </c>
      <c r="C16" s="62"/>
      <c r="D16" s="62"/>
      <c r="E16" s="62"/>
      <c r="F16" s="62"/>
    </row>
    <row r="18" spans="1:6" ht="15">
      <c r="A18" s="1" t="s">
        <v>142</v>
      </c>
      <c r="B18" s="1"/>
      <c r="C18" s="1"/>
      <c r="D18" s="1"/>
      <c r="E18" s="1"/>
      <c r="F18" s="1"/>
    </row>
    <row r="20" spans="1:6" ht="12.75">
      <c r="A20" s="69" t="s">
        <v>131</v>
      </c>
      <c r="B20" s="69" t="s">
        <v>1</v>
      </c>
      <c r="C20" s="69" t="s">
        <v>132</v>
      </c>
      <c r="D20" s="69" t="s">
        <v>133</v>
      </c>
      <c r="E20" s="69" t="s">
        <v>134</v>
      </c>
      <c r="F20" s="69" t="s">
        <v>135</v>
      </c>
    </row>
    <row r="21" spans="1:6" ht="12.75">
      <c r="A21" s="63">
        <v>1</v>
      </c>
      <c r="B21" s="63">
        <v>2</v>
      </c>
      <c r="C21" s="63">
        <v>3</v>
      </c>
      <c r="D21" s="63">
        <v>4</v>
      </c>
      <c r="E21" s="63">
        <v>5</v>
      </c>
      <c r="F21" s="63">
        <v>6</v>
      </c>
    </row>
    <row r="22" spans="1:6" ht="12.75">
      <c r="A22" s="62" t="s">
        <v>143</v>
      </c>
      <c r="B22" s="62"/>
      <c r="C22" s="66"/>
      <c r="D22" s="66"/>
      <c r="E22" s="66"/>
      <c r="F22" s="66"/>
    </row>
    <row r="23" spans="1:6" ht="12.75">
      <c r="A23" s="62" t="s">
        <v>144</v>
      </c>
      <c r="B23" s="62">
        <v>210</v>
      </c>
      <c r="C23" s="66">
        <v>123413328</v>
      </c>
      <c r="D23" s="66">
        <v>1754915579</v>
      </c>
      <c r="E23" s="66">
        <v>1745545394</v>
      </c>
      <c r="F23" s="66">
        <v>132783513</v>
      </c>
    </row>
    <row r="24" spans="1:6" ht="12.75">
      <c r="A24" s="62" t="s">
        <v>145</v>
      </c>
      <c r="B24" s="62">
        <v>211</v>
      </c>
      <c r="C24" s="66">
        <v>14680484</v>
      </c>
      <c r="D24" s="66">
        <v>5727326</v>
      </c>
      <c r="E24" s="66">
        <v>14451446</v>
      </c>
      <c r="F24" s="66">
        <v>5956364</v>
      </c>
    </row>
    <row r="25" spans="1:6" ht="12.75">
      <c r="A25" s="62" t="s">
        <v>146</v>
      </c>
      <c r="B25" s="62">
        <v>212</v>
      </c>
      <c r="C25" s="66">
        <v>14680484</v>
      </c>
      <c r="D25" s="66">
        <v>5727326</v>
      </c>
      <c r="E25" s="66">
        <v>14451446</v>
      </c>
      <c r="F25" s="66">
        <v>5956364</v>
      </c>
    </row>
    <row r="26" spans="1:6" ht="12.75">
      <c r="A26" s="62" t="s">
        <v>147</v>
      </c>
      <c r="B26" s="62">
        <v>220</v>
      </c>
      <c r="C26" s="66">
        <v>33505</v>
      </c>
      <c r="D26" s="66">
        <v>118118</v>
      </c>
      <c r="E26" s="66">
        <v>33505</v>
      </c>
      <c r="F26" s="66">
        <v>118118</v>
      </c>
    </row>
    <row r="27" spans="1:6" ht="12.75">
      <c r="A27" s="62" t="s">
        <v>145</v>
      </c>
      <c r="B27" s="62">
        <v>221</v>
      </c>
      <c r="C27" s="66"/>
      <c r="D27" s="66">
        <v>118118</v>
      </c>
      <c r="E27" s="66"/>
      <c r="F27" s="66"/>
    </row>
    <row r="28" spans="1:6" ht="12.75">
      <c r="A28" s="62" t="s">
        <v>146</v>
      </c>
      <c r="B28" s="62">
        <v>222</v>
      </c>
      <c r="C28" s="66"/>
      <c r="D28" s="66">
        <v>118118</v>
      </c>
      <c r="E28" s="66"/>
      <c r="F28" s="66"/>
    </row>
    <row r="29" spans="1:6" ht="12.75">
      <c r="A29" s="62" t="s">
        <v>148</v>
      </c>
      <c r="B29" s="62">
        <v>223</v>
      </c>
      <c r="C29" s="66">
        <v>30745</v>
      </c>
      <c r="D29" s="66"/>
      <c r="E29" s="66">
        <v>30745</v>
      </c>
      <c r="F29" s="66"/>
    </row>
    <row r="30" spans="1:6" ht="12.75">
      <c r="A30" s="62" t="s">
        <v>149</v>
      </c>
      <c r="B30" s="62"/>
      <c r="C30" s="66"/>
      <c r="D30" s="66"/>
      <c r="E30" s="66"/>
      <c r="F30" s="66"/>
    </row>
    <row r="31" spans="1:6" ht="12.75">
      <c r="A31" s="62" t="s">
        <v>144</v>
      </c>
      <c r="B31" s="62">
        <v>230</v>
      </c>
      <c r="C31" s="66">
        <v>337155303</v>
      </c>
      <c r="D31" s="66">
        <v>1391773358</v>
      </c>
      <c r="E31" s="66">
        <v>1382068399</v>
      </c>
      <c r="F31" s="66">
        <v>346860262</v>
      </c>
    </row>
    <row r="32" spans="1:6" ht="12.75">
      <c r="A32" s="62" t="s">
        <v>145</v>
      </c>
      <c r="B32" s="62">
        <v>231</v>
      </c>
      <c r="C32" s="66">
        <v>3618866</v>
      </c>
      <c r="D32" s="66">
        <v>11802070</v>
      </c>
      <c r="E32" s="66">
        <v>5463854</v>
      </c>
      <c r="F32" s="66">
        <v>9957082</v>
      </c>
    </row>
    <row r="33" spans="1:6" ht="12.75">
      <c r="A33" s="62" t="s">
        <v>146</v>
      </c>
      <c r="B33" s="62">
        <v>232</v>
      </c>
      <c r="C33" s="66">
        <v>3495186</v>
      </c>
      <c r="D33" s="66">
        <v>11185640</v>
      </c>
      <c r="E33" s="66">
        <v>4908952</v>
      </c>
      <c r="F33" s="66">
        <v>7971874</v>
      </c>
    </row>
    <row r="34" spans="1:6" ht="12.75">
      <c r="A34" s="62" t="s">
        <v>147</v>
      </c>
      <c r="B34" s="62">
        <v>240</v>
      </c>
      <c r="C34" s="66"/>
      <c r="D34" s="66"/>
      <c r="E34" s="66"/>
      <c r="F34" s="66"/>
    </row>
    <row r="35" spans="1:6" ht="12.75">
      <c r="A35" s="62" t="s">
        <v>145</v>
      </c>
      <c r="B35" s="62">
        <v>241</v>
      </c>
      <c r="C35" s="66"/>
      <c r="D35" s="66"/>
      <c r="E35" s="66"/>
      <c r="F35" s="66"/>
    </row>
    <row r="36" spans="1:6" ht="12.75">
      <c r="A36" s="62" t="s">
        <v>146</v>
      </c>
      <c r="B36" s="62">
        <v>242</v>
      </c>
      <c r="C36" s="66"/>
      <c r="D36" s="66"/>
      <c r="E36" s="66"/>
      <c r="F36" s="66"/>
    </row>
    <row r="37" spans="1:6" ht="12.75">
      <c r="A37" s="62" t="s">
        <v>150</v>
      </c>
      <c r="B37" s="62">
        <v>243</v>
      </c>
      <c r="C37" s="66"/>
      <c r="D37" s="66"/>
      <c r="E37" s="66"/>
      <c r="F37" s="66"/>
    </row>
    <row r="38" spans="1:6" ht="12.75">
      <c r="A38" s="62" t="s">
        <v>151</v>
      </c>
      <c r="B38" s="62"/>
      <c r="C38" s="66"/>
      <c r="D38" s="66"/>
      <c r="E38" s="66"/>
      <c r="F38" s="66"/>
    </row>
    <row r="39" spans="1:6" ht="12.75">
      <c r="A39" s="62" t="s">
        <v>152</v>
      </c>
      <c r="B39" s="62">
        <v>250</v>
      </c>
      <c r="C39" s="66"/>
      <c r="D39" s="66"/>
      <c r="E39" s="66"/>
      <c r="F39" s="66"/>
    </row>
    <row r="40" spans="1:6" ht="12.75">
      <c r="A40" s="62" t="s">
        <v>153</v>
      </c>
      <c r="B40" s="62">
        <v>251</v>
      </c>
      <c r="C40" s="66"/>
      <c r="D40" s="66"/>
      <c r="E40" s="66"/>
      <c r="F40" s="66"/>
    </row>
    <row r="41" spans="1:6" ht="12.75">
      <c r="A41" s="62" t="s">
        <v>154</v>
      </c>
      <c r="B41" s="62">
        <v>260</v>
      </c>
      <c r="C41" s="66"/>
      <c r="D41" s="66"/>
      <c r="E41" s="66"/>
      <c r="F41" s="66"/>
    </row>
    <row r="42" spans="1:6" ht="12.75">
      <c r="A42" s="62" t="s">
        <v>155</v>
      </c>
      <c r="B42" s="62">
        <v>261</v>
      </c>
      <c r="C42" s="66"/>
      <c r="D42" s="66"/>
      <c r="E42" s="66"/>
      <c r="F42" s="66"/>
    </row>
    <row r="44" spans="1:6" ht="15">
      <c r="A44" s="1" t="s">
        <v>156</v>
      </c>
      <c r="B44" s="1"/>
      <c r="C44" s="1"/>
      <c r="D44" s="1"/>
      <c r="E44" s="1"/>
      <c r="F44" s="1"/>
    </row>
    <row r="46" spans="1:6" ht="12.75">
      <c r="A46" s="69" t="s">
        <v>131</v>
      </c>
      <c r="B46" s="69" t="s">
        <v>1</v>
      </c>
      <c r="C46" s="69" t="s">
        <v>132</v>
      </c>
      <c r="D46" s="69" t="s">
        <v>157</v>
      </c>
      <c r="E46" s="69" t="s">
        <v>158</v>
      </c>
      <c r="F46" s="69" t="s">
        <v>135</v>
      </c>
    </row>
    <row r="47" spans="1:6" ht="12.75">
      <c r="A47" s="63">
        <v>1</v>
      </c>
      <c r="B47" s="63">
        <v>2</v>
      </c>
      <c r="C47" s="63">
        <v>3</v>
      </c>
      <c r="D47" s="63">
        <v>4</v>
      </c>
      <c r="E47" s="63">
        <v>5</v>
      </c>
      <c r="F47" s="63">
        <v>6</v>
      </c>
    </row>
    <row r="48" spans="1:6" ht="12.75">
      <c r="A48" s="62" t="s">
        <v>159</v>
      </c>
      <c r="B48" s="62"/>
      <c r="C48" s="66"/>
      <c r="D48" s="66"/>
      <c r="E48" s="66"/>
      <c r="F48" s="66"/>
    </row>
    <row r="49" spans="1:6" ht="12.75">
      <c r="A49" s="62" t="s">
        <v>160</v>
      </c>
      <c r="B49" s="62">
        <v>262</v>
      </c>
      <c r="C49" s="66"/>
      <c r="D49" s="66">
        <v>1041354</v>
      </c>
      <c r="E49" s="66"/>
      <c r="F49" s="66">
        <v>1041354</v>
      </c>
    </row>
    <row r="50" spans="1:6" ht="12.75">
      <c r="A50" s="62" t="s">
        <v>161</v>
      </c>
      <c r="B50" s="62">
        <v>263</v>
      </c>
      <c r="C50" s="66"/>
      <c r="D50" s="66"/>
      <c r="E50" s="66"/>
      <c r="F50" s="66"/>
    </row>
    <row r="51" spans="1:6" ht="12.75">
      <c r="A51" s="62" t="s">
        <v>162</v>
      </c>
      <c r="B51" s="62">
        <v>264</v>
      </c>
      <c r="C51" s="66">
        <v>60251612</v>
      </c>
      <c r="D51" s="66">
        <v>136888956</v>
      </c>
      <c r="E51" s="66">
        <v>165830873</v>
      </c>
      <c r="F51" s="66">
        <v>31309695</v>
      </c>
    </row>
    <row r="52" spans="1:6" ht="12.75">
      <c r="A52" s="62" t="s">
        <v>161</v>
      </c>
      <c r="B52" s="62">
        <v>265</v>
      </c>
      <c r="C52" s="66"/>
      <c r="D52" s="66"/>
      <c r="E52" s="66"/>
      <c r="F52" s="66"/>
    </row>
    <row r="53" spans="1:6" ht="12.75">
      <c r="A53" s="62" t="s">
        <v>163</v>
      </c>
      <c r="B53" s="62">
        <v>266</v>
      </c>
      <c r="C53" s="66">
        <v>52127075</v>
      </c>
      <c r="D53" s="66">
        <v>698686838</v>
      </c>
      <c r="E53" s="66">
        <v>682463457</v>
      </c>
      <c r="F53" s="66">
        <v>65563010</v>
      </c>
    </row>
    <row r="54" spans="1:6" ht="12.75">
      <c r="A54" s="62" t="s">
        <v>164</v>
      </c>
      <c r="B54" s="62">
        <v>267</v>
      </c>
      <c r="C54" s="66"/>
      <c r="D54" s="66"/>
      <c r="E54" s="66"/>
      <c r="F54" s="66"/>
    </row>
    <row r="55" spans="1:6" ht="12.75">
      <c r="A55" s="62" t="s">
        <v>165</v>
      </c>
      <c r="B55" s="62">
        <v>268</v>
      </c>
      <c r="C55" s="66"/>
      <c r="D55" s="66"/>
      <c r="E55" s="66"/>
      <c r="F55" s="66"/>
    </row>
    <row r="57" spans="1:6" ht="15">
      <c r="A57" s="1" t="s">
        <v>166</v>
      </c>
      <c r="B57" s="1"/>
      <c r="C57" s="1"/>
      <c r="D57" s="1"/>
      <c r="E57" s="1"/>
      <c r="F57" s="1"/>
    </row>
    <row r="59" spans="1:6" ht="12.75">
      <c r="A59" s="69" t="s">
        <v>131</v>
      </c>
      <c r="B59" s="69" t="s">
        <v>1</v>
      </c>
      <c r="C59" s="69" t="s">
        <v>132</v>
      </c>
      <c r="D59" s="69" t="s">
        <v>157</v>
      </c>
      <c r="E59" s="69" t="s">
        <v>158</v>
      </c>
      <c r="F59" s="69" t="s">
        <v>135</v>
      </c>
    </row>
    <row r="60" spans="1:6" ht="12.75">
      <c r="A60" s="63">
        <v>1</v>
      </c>
      <c r="B60" s="63">
        <v>2</v>
      </c>
      <c r="C60" s="63">
        <v>3</v>
      </c>
      <c r="D60" s="63">
        <v>4</v>
      </c>
      <c r="E60" s="63">
        <v>5</v>
      </c>
      <c r="F60" s="63">
        <v>6</v>
      </c>
    </row>
    <row r="61" spans="1:6" ht="12.75">
      <c r="A61" s="62" t="s">
        <v>167</v>
      </c>
      <c r="B61" s="62"/>
      <c r="C61" s="65"/>
      <c r="D61" s="65"/>
      <c r="E61" s="65"/>
      <c r="F61" s="65"/>
    </row>
    <row r="62" spans="1:6" ht="12.75">
      <c r="A62" s="62" t="s">
        <v>168</v>
      </c>
      <c r="B62" s="62">
        <v>310</v>
      </c>
      <c r="C62" s="65">
        <v>534677</v>
      </c>
      <c r="D62" s="65">
        <v>305239</v>
      </c>
      <c r="E62" s="65">
        <v>147450</v>
      </c>
      <c r="F62" s="65">
        <v>692466</v>
      </c>
    </row>
    <row r="63" spans="1:6" ht="12.75">
      <c r="A63" s="62" t="s">
        <v>169</v>
      </c>
      <c r="B63" s="62"/>
      <c r="C63" s="65"/>
      <c r="D63" s="65"/>
      <c r="E63" s="65"/>
      <c r="F63" s="65"/>
    </row>
    <row r="64" spans="1:6" ht="12.75">
      <c r="A64" s="62" t="s">
        <v>170</v>
      </c>
      <c r="B64" s="62">
        <v>311</v>
      </c>
      <c r="C64" s="65">
        <v>462916</v>
      </c>
      <c r="D64" s="65">
        <v>225165</v>
      </c>
      <c r="E64" s="65">
        <v>80297</v>
      </c>
      <c r="F64" s="65">
        <v>607784</v>
      </c>
    </row>
    <row r="65" spans="1:6" ht="12.75">
      <c r="A65" s="62" t="s">
        <v>171</v>
      </c>
      <c r="B65" s="62">
        <v>312</v>
      </c>
      <c r="C65" s="65">
        <v>71761</v>
      </c>
      <c r="D65" s="65">
        <v>80074</v>
      </c>
      <c r="E65" s="65">
        <v>67153</v>
      </c>
      <c r="F65" s="65">
        <v>84682</v>
      </c>
    </row>
    <row r="66" spans="1:6" ht="12.75">
      <c r="A66" s="62" t="s">
        <v>172</v>
      </c>
      <c r="B66" s="62">
        <v>313</v>
      </c>
      <c r="C66" s="65"/>
      <c r="D66" s="65"/>
      <c r="E66" s="65"/>
      <c r="F66" s="65"/>
    </row>
    <row r="67" spans="1:6" ht="12.75">
      <c r="A67" s="62" t="s">
        <v>173</v>
      </c>
      <c r="B67" s="62">
        <v>320</v>
      </c>
      <c r="C67" s="65"/>
      <c r="D67" s="65"/>
      <c r="E67" s="65"/>
      <c r="F67" s="65"/>
    </row>
    <row r="68" spans="1:6" ht="12.75">
      <c r="A68" s="62" t="s">
        <v>174</v>
      </c>
      <c r="B68" s="62">
        <v>330</v>
      </c>
      <c r="C68" s="65">
        <v>208</v>
      </c>
      <c r="D68" s="65"/>
      <c r="E68" s="65"/>
      <c r="F68" s="65"/>
    </row>
    <row r="69" spans="1:6" ht="12.75">
      <c r="A69" s="62" t="s">
        <v>175</v>
      </c>
      <c r="B69" s="62">
        <v>340</v>
      </c>
      <c r="C69" s="65"/>
      <c r="D69" s="65"/>
      <c r="E69" s="65"/>
      <c r="F69" s="65"/>
    </row>
    <row r="70" spans="1:6" ht="12.75">
      <c r="A70" s="62" t="s">
        <v>176</v>
      </c>
      <c r="B70" s="62">
        <v>349</v>
      </c>
      <c r="C70" s="65">
        <v>77585</v>
      </c>
      <c r="D70" s="65">
        <v>228870</v>
      </c>
      <c r="E70" s="65">
        <v>166830</v>
      </c>
      <c r="F70" s="65">
        <v>139625</v>
      </c>
    </row>
    <row r="71" spans="1:6" ht="12.75">
      <c r="A71" s="62" t="s">
        <v>177</v>
      </c>
      <c r="B71" s="62">
        <v>350</v>
      </c>
      <c r="C71" s="65">
        <v>612470</v>
      </c>
      <c r="D71" s="65">
        <v>534109</v>
      </c>
      <c r="E71" s="65">
        <v>314280</v>
      </c>
      <c r="F71" s="65">
        <v>832299</v>
      </c>
    </row>
    <row r="72" spans="1:6" ht="12.75">
      <c r="A72" s="62" t="s">
        <v>178</v>
      </c>
      <c r="B72" s="62"/>
      <c r="C72" s="65"/>
      <c r="D72" s="65"/>
      <c r="E72" s="65"/>
      <c r="F72" s="65"/>
    </row>
    <row r="73" spans="1:6" ht="12.75">
      <c r="A73" s="62" t="s">
        <v>179</v>
      </c>
      <c r="B73" s="62">
        <v>360</v>
      </c>
      <c r="C73" s="65"/>
      <c r="D73" s="65"/>
      <c r="E73" s="65"/>
      <c r="F73" s="65"/>
    </row>
    <row r="74" spans="1:6" ht="12.75">
      <c r="A74" s="62" t="s">
        <v>180</v>
      </c>
      <c r="B74" s="62">
        <v>361</v>
      </c>
      <c r="C74" s="65">
        <v>264179341</v>
      </c>
      <c r="D74" s="65">
        <v>8437056</v>
      </c>
      <c r="E74" s="65">
        <v>4466169</v>
      </c>
      <c r="F74" s="65">
        <v>268150228</v>
      </c>
    </row>
    <row r="75" spans="1:6" ht="12.75">
      <c r="A75" s="62" t="s">
        <v>181</v>
      </c>
      <c r="B75" s="62">
        <v>362</v>
      </c>
      <c r="C75" s="65">
        <v>33880215</v>
      </c>
      <c r="D75" s="65">
        <v>12458</v>
      </c>
      <c r="E75" s="65">
        <v>17633</v>
      </c>
      <c r="F75" s="65">
        <v>33875040</v>
      </c>
    </row>
    <row r="76" spans="1:6" ht="12.75">
      <c r="A76" s="62" t="s">
        <v>182</v>
      </c>
      <c r="B76" s="62">
        <v>363</v>
      </c>
      <c r="C76" s="65">
        <v>184865339</v>
      </c>
      <c r="D76" s="65">
        <v>6925150</v>
      </c>
      <c r="E76" s="65">
        <v>8970728</v>
      </c>
      <c r="F76" s="65">
        <v>182819761</v>
      </c>
    </row>
    <row r="77" spans="1:6" ht="12.75">
      <c r="A77" s="62" t="s">
        <v>183</v>
      </c>
      <c r="B77" s="62">
        <v>364</v>
      </c>
      <c r="C77" s="65">
        <v>14235661</v>
      </c>
      <c r="D77" s="65">
        <v>138616</v>
      </c>
      <c r="E77" s="65">
        <v>1205277</v>
      </c>
      <c r="F77" s="65">
        <v>13169000</v>
      </c>
    </row>
    <row r="78" spans="1:6" ht="12.75">
      <c r="A78" s="62" t="s">
        <v>184</v>
      </c>
      <c r="B78" s="62">
        <v>365</v>
      </c>
      <c r="C78" s="65">
        <v>1860229</v>
      </c>
      <c r="D78" s="65">
        <v>82941</v>
      </c>
      <c r="E78" s="65">
        <v>48200</v>
      </c>
      <c r="F78" s="65">
        <v>1894970</v>
      </c>
    </row>
    <row r="79" spans="1:6" ht="12.75">
      <c r="A79" s="62" t="s">
        <v>185</v>
      </c>
      <c r="B79" s="62">
        <v>366</v>
      </c>
      <c r="C79" s="65"/>
      <c r="D79" s="65"/>
      <c r="E79" s="65"/>
      <c r="F79" s="65"/>
    </row>
    <row r="80" spans="1:6" ht="12.75">
      <c r="A80" s="62" t="s">
        <v>186</v>
      </c>
      <c r="B80" s="62">
        <v>367</v>
      </c>
      <c r="C80" s="65"/>
      <c r="D80" s="65"/>
      <c r="E80" s="65"/>
      <c r="F80" s="65"/>
    </row>
    <row r="81" spans="1:6" ht="12.75">
      <c r="A81" s="62" t="s">
        <v>187</v>
      </c>
      <c r="B81" s="62">
        <v>368</v>
      </c>
      <c r="C81" s="65">
        <v>7544</v>
      </c>
      <c r="D81" s="65"/>
      <c r="E81" s="65"/>
      <c r="F81" s="65"/>
    </row>
    <row r="82" spans="1:6" ht="12.75">
      <c r="A82" s="62" t="s">
        <v>188</v>
      </c>
      <c r="B82" s="62">
        <v>369</v>
      </c>
      <c r="C82" s="65">
        <v>173443046</v>
      </c>
      <c r="D82" s="65">
        <v>115350</v>
      </c>
      <c r="E82" s="65">
        <v>152822124</v>
      </c>
      <c r="F82" s="65">
        <v>20735672</v>
      </c>
    </row>
    <row r="83" spans="1:6" ht="12.75">
      <c r="A83" s="62" t="s">
        <v>177</v>
      </c>
      <c r="B83" s="62">
        <v>370</v>
      </c>
      <c r="C83" s="65">
        <v>672471375</v>
      </c>
      <c r="D83" s="65">
        <v>15711571</v>
      </c>
      <c r="E83" s="65">
        <v>167530731</v>
      </c>
      <c r="F83" s="65">
        <v>520652215</v>
      </c>
    </row>
    <row r="84" spans="1:6" ht="12.75">
      <c r="A84" s="62" t="s">
        <v>169</v>
      </c>
      <c r="B84" s="62"/>
      <c r="C84" s="65"/>
      <c r="D84" s="65"/>
      <c r="E84" s="65"/>
      <c r="F84" s="65"/>
    </row>
    <row r="85" spans="1:6" ht="12.75">
      <c r="A85" s="62" t="s">
        <v>189</v>
      </c>
      <c r="B85" s="62">
        <v>371</v>
      </c>
      <c r="C85" s="65">
        <v>484190697</v>
      </c>
      <c r="D85" s="65">
        <v>13893702</v>
      </c>
      <c r="E85" s="65">
        <v>14245972</v>
      </c>
      <c r="F85" s="65">
        <v>483838427</v>
      </c>
    </row>
    <row r="86" spans="1:6" ht="12.75">
      <c r="A86" s="62" t="s">
        <v>190</v>
      </c>
      <c r="B86" s="62">
        <v>372</v>
      </c>
      <c r="C86" s="65">
        <v>170385883</v>
      </c>
      <c r="D86" s="65">
        <v>76544</v>
      </c>
      <c r="E86" s="65">
        <v>152814340</v>
      </c>
      <c r="F86" s="65">
        <v>17648084</v>
      </c>
    </row>
    <row r="87" spans="1:6" ht="12.75">
      <c r="A87" s="62" t="s">
        <v>191</v>
      </c>
      <c r="B87" s="62"/>
      <c r="C87" s="65"/>
      <c r="D87" s="65"/>
      <c r="E87" s="65"/>
      <c r="F87" s="65"/>
    </row>
    <row r="88" spans="1:6" ht="12.75">
      <c r="A88" s="62" t="s">
        <v>177</v>
      </c>
      <c r="B88" s="62">
        <v>380</v>
      </c>
      <c r="C88" s="65">
        <v>11850818</v>
      </c>
      <c r="D88" s="65">
        <v>17110547</v>
      </c>
      <c r="E88" s="65">
        <v>11204537</v>
      </c>
      <c r="F88" s="65">
        <v>17780855</v>
      </c>
    </row>
    <row r="89" spans="1:6" ht="12.75">
      <c r="A89" s="62" t="s">
        <v>192</v>
      </c>
      <c r="B89" s="62"/>
      <c r="C89" s="65"/>
      <c r="D89" s="65"/>
      <c r="E89" s="65"/>
      <c r="F89" s="65"/>
    </row>
    <row r="90" spans="1:6" ht="12.75">
      <c r="A90" s="62" t="s">
        <v>193</v>
      </c>
      <c r="B90" s="62">
        <v>381</v>
      </c>
      <c r="C90" s="65">
        <v>1784471</v>
      </c>
      <c r="D90" s="65">
        <v>7648799</v>
      </c>
      <c r="E90" s="65">
        <v>7450528</v>
      </c>
      <c r="F90" s="65">
        <v>1982742</v>
      </c>
    </row>
    <row r="91" spans="1:6" ht="12.75">
      <c r="A91" s="62" t="s">
        <v>194</v>
      </c>
      <c r="B91" s="62">
        <v>382</v>
      </c>
      <c r="C91" s="65">
        <v>10066347</v>
      </c>
      <c r="D91" s="65">
        <v>9515001</v>
      </c>
      <c r="E91" s="65">
        <v>3783235</v>
      </c>
      <c r="F91" s="65">
        <v>15798113</v>
      </c>
    </row>
    <row r="92" spans="1:6" ht="15">
      <c r="A92" s="1" t="s">
        <v>195</v>
      </c>
      <c r="B92" s="1"/>
      <c r="C92" s="1"/>
      <c r="D92" s="1"/>
      <c r="E92" s="1"/>
      <c r="F92" s="1"/>
    </row>
    <row r="94" spans="1:6" ht="12.75">
      <c r="A94" s="69" t="s">
        <v>131</v>
      </c>
      <c r="B94" s="69" t="s">
        <v>1</v>
      </c>
      <c r="C94" s="69" t="s">
        <v>132</v>
      </c>
      <c r="D94" s="69" t="s">
        <v>157</v>
      </c>
      <c r="E94" s="69" t="s">
        <v>158</v>
      </c>
      <c r="F94" s="69" t="s">
        <v>135</v>
      </c>
    </row>
    <row r="95" spans="1:6" ht="12.75">
      <c r="A95" s="63">
        <v>1</v>
      </c>
      <c r="B95" s="63">
        <v>2</v>
      </c>
      <c r="C95" s="63">
        <v>3</v>
      </c>
      <c r="D95" s="63">
        <v>4</v>
      </c>
      <c r="E95" s="63">
        <v>5</v>
      </c>
      <c r="F95" s="63">
        <v>6</v>
      </c>
    </row>
    <row r="96" spans="1:6" ht="12.75">
      <c r="A96" s="62" t="s">
        <v>196</v>
      </c>
      <c r="B96" s="62"/>
      <c r="C96" s="66"/>
      <c r="D96" s="66"/>
      <c r="E96" s="66"/>
      <c r="F96" s="66"/>
    </row>
    <row r="97" spans="1:6" ht="12.75">
      <c r="A97" s="62" t="s">
        <v>197</v>
      </c>
      <c r="B97" s="62">
        <v>385</v>
      </c>
      <c r="C97" s="66">
        <v>1837082</v>
      </c>
      <c r="D97" s="66">
        <v>2224896</v>
      </c>
      <c r="E97" s="66"/>
      <c r="F97" s="66"/>
    </row>
    <row r="98" spans="1:6" ht="12.75">
      <c r="A98" s="62" t="s">
        <v>198</v>
      </c>
      <c r="B98" s="62"/>
      <c r="C98" s="66"/>
      <c r="D98" s="66"/>
      <c r="E98" s="66"/>
      <c r="F98" s="66"/>
    </row>
    <row r="99" spans="1:6" ht="12.75">
      <c r="A99" s="62" t="s">
        <v>199</v>
      </c>
      <c r="B99" s="62">
        <v>386</v>
      </c>
      <c r="C99" s="66">
        <v>1443082</v>
      </c>
      <c r="D99" s="66">
        <v>1955413</v>
      </c>
      <c r="E99" s="66"/>
      <c r="F99" s="66"/>
    </row>
    <row r="100" spans="1:6" ht="12.75">
      <c r="A100" s="62" t="s">
        <v>200</v>
      </c>
      <c r="B100" s="62">
        <v>387</v>
      </c>
      <c r="C100" s="66"/>
      <c r="D100" s="66"/>
      <c r="E100" s="66"/>
      <c r="F100" s="66"/>
    </row>
    <row r="101" spans="1:6" ht="12.75">
      <c r="A101" s="62" t="s">
        <v>182</v>
      </c>
      <c r="B101" s="62">
        <v>388</v>
      </c>
      <c r="C101" s="66">
        <v>376472</v>
      </c>
      <c r="D101" s="66">
        <v>269483</v>
      </c>
      <c r="E101" s="66"/>
      <c r="F101" s="66"/>
    </row>
    <row r="102" spans="1:6" ht="12.75">
      <c r="A102" s="62" t="s">
        <v>201</v>
      </c>
      <c r="B102" s="62">
        <v>389</v>
      </c>
      <c r="C102" s="66">
        <v>17528</v>
      </c>
      <c r="D102" s="66"/>
      <c r="E102" s="66"/>
      <c r="F102" s="66"/>
    </row>
    <row r="103" spans="1:6" ht="12.75">
      <c r="A103" s="62" t="s">
        <v>202</v>
      </c>
      <c r="B103" s="62">
        <v>390</v>
      </c>
      <c r="C103" s="66">
        <v>853067</v>
      </c>
      <c r="D103" s="66">
        <v>6750039</v>
      </c>
      <c r="E103" s="66"/>
      <c r="F103" s="66"/>
    </row>
    <row r="104" spans="1:6" ht="12.75">
      <c r="A104" s="62" t="s">
        <v>203</v>
      </c>
      <c r="B104" s="62"/>
      <c r="C104" s="66"/>
      <c r="D104" s="66"/>
      <c r="E104" s="66"/>
      <c r="F104" s="66"/>
    </row>
    <row r="105" spans="1:6" ht="12.75">
      <c r="A105" s="62" t="s">
        <v>204</v>
      </c>
      <c r="B105" s="62">
        <v>391</v>
      </c>
      <c r="C105" s="66">
        <v>15534</v>
      </c>
      <c r="D105" s="66">
        <v>23043</v>
      </c>
      <c r="E105" s="66"/>
      <c r="F105" s="66"/>
    </row>
    <row r="106" spans="1:6" ht="12.75">
      <c r="A106" s="62" t="s">
        <v>205</v>
      </c>
      <c r="B106" s="62">
        <v>392</v>
      </c>
      <c r="C106" s="66">
        <v>110092839</v>
      </c>
      <c r="D106" s="66">
        <v>113159425</v>
      </c>
      <c r="E106" s="66"/>
      <c r="F106" s="66"/>
    </row>
    <row r="107" spans="1:6" ht="12.75">
      <c r="A107" s="62" t="s">
        <v>206</v>
      </c>
      <c r="B107" s="62"/>
      <c r="C107" s="66"/>
      <c r="D107" s="66"/>
      <c r="E107" s="66"/>
      <c r="F107" s="66"/>
    </row>
    <row r="108" spans="1:6" ht="12.75">
      <c r="A108" s="62" t="s">
        <v>207</v>
      </c>
      <c r="B108" s="62">
        <v>393</v>
      </c>
      <c r="C108" s="66">
        <v>53419006</v>
      </c>
      <c r="D108" s="66">
        <v>53310315</v>
      </c>
      <c r="E108" s="66"/>
      <c r="F108" s="66"/>
    </row>
    <row r="109" spans="1:6" ht="12.75">
      <c r="A109" s="62" t="s">
        <v>208</v>
      </c>
      <c r="B109" s="62">
        <v>394</v>
      </c>
      <c r="C109" s="66">
        <v>56506877</v>
      </c>
      <c r="D109" s="66">
        <v>59676349</v>
      </c>
      <c r="E109" s="66"/>
      <c r="F109" s="66"/>
    </row>
    <row r="110" spans="1:6" ht="12.75">
      <c r="A110" s="62" t="s">
        <v>209</v>
      </c>
      <c r="B110" s="62">
        <v>395</v>
      </c>
      <c r="C110" s="66">
        <v>166956</v>
      </c>
      <c r="D110" s="66">
        <v>172761</v>
      </c>
      <c r="E110" s="66"/>
      <c r="F110" s="66"/>
    </row>
    <row r="111" spans="1:6" ht="12.75">
      <c r="A111" s="62" t="s">
        <v>210</v>
      </c>
      <c r="B111" s="62">
        <v>396</v>
      </c>
      <c r="C111" s="66">
        <v>5214032</v>
      </c>
      <c r="D111" s="66">
        <v>10030882</v>
      </c>
      <c r="E111" s="66"/>
      <c r="F111" s="66"/>
    </row>
    <row r="112" spans="1:6" ht="12.75">
      <c r="A112" s="62" t="s">
        <v>211</v>
      </c>
      <c r="B112" s="62"/>
      <c r="C112" s="66"/>
      <c r="D112" s="66"/>
      <c r="E112" s="66"/>
      <c r="F112" s="66"/>
    </row>
    <row r="113" spans="1:6" ht="12.75">
      <c r="A113" s="62" t="s">
        <v>212</v>
      </c>
      <c r="B113" s="62"/>
      <c r="C113" s="66"/>
      <c r="D113" s="66"/>
      <c r="E113" s="66"/>
      <c r="F113" s="66"/>
    </row>
    <row r="114" spans="1:6" ht="12.75">
      <c r="A114" s="62" t="s">
        <v>213</v>
      </c>
      <c r="B114" s="62">
        <v>397</v>
      </c>
      <c r="C114" s="66">
        <v>289942211</v>
      </c>
      <c r="D114" s="66"/>
      <c r="E114" s="66"/>
      <c r="F114" s="66"/>
    </row>
    <row r="115" spans="1:6" ht="12.75">
      <c r="A115" s="62" t="s">
        <v>214</v>
      </c>
      <c r="B115" s="62">
        <v>398</v>
      </c>
      <c r="C115" s="66">
        <v>84421848</v>
      </c>
      <c r="D115" s="66"/>
      <c r="E115" s="66"/>
      <c r="F115" s="66"/>
    </row>
    <row r="116" spans="1:6" ht="12.75">
      <c r="A116" s="62" t="s">
        <v>215</v>
      </c>
      <c r="B116" s="62">
        <v>400</v>
      </c>
      <c r="C116" s="66"/>
      <c r="D116" s="66"/>
      <c r="E116" s="66"/>
      <c r="F116" s="66"/>
    </row>
    <row r="118" spans="1:6" ht="15">
      <c r="A118" s="1" t="s">
        <v>216</v>
      </c>
      <c r="B118" s="1"/>
      <c r="C118" s="1"/>
      <c r="D118" s="1"/>
      <c r="E118" s="1"/>
      <c r="F118" s="1"/>
    </row>
    <row r="120" spans="1:6" ht="12.75">
      <c r="A120" s="69" t="s">
        <v>131</v>
      </c>
      <c r="B120" s="69" t="s">
        <v>1</v>
      </c>
      <c r="C120" s="69" t="s">
        <v>132</v>
      </c>
      <c r="D120" s="69" t="s">
        <v>157</v>
      </c>
      <c r="E120" s="69" t="s">
        <v>158</v>
      </c>
      <c r="F120" s="69" t="s">
        <v>135</v>
      </c>
    </row>
    <row r="121" spans="1:6" ht="12.75">
      <c r="A121" s="63">
        <v>1</v>
      </c>
      <c r="B121" s="63">
        <v>2</v>
      </c>
      <c r="C121" s="63">
        <v>3</v>
      </c>
      <c r="D121" s="63">
        <v>4</v>
      </c>
      <c r="E121" s="63">
        <v>5</v>
      </c>
      <c r="F121" s="63">
        <v>6</v>
      </c>
    </row>
    <row r="122" spans="1:6" ht="12.75">
      <c r="A122" s="62" t="s">
        <v>217</v>
      </c>
      <c r="B122" s="62">
        <v>410</v>
      </c>
      <c r="C122" s="66">
        <v>68411654</v>
      </c>
      <c r="D122" s="66">
        <v>22913442</v>
      </c>
      <c r="E122" s="66">
        <v>19656419</v>
      </c>
      <c r="F122" s="66">
        <v>71731677</v>
      </c>
    </row>
    <row r="123" spans="1:6" ht="12.75">
      <c r="A123" s="62" t="s">
        <v>218</v>
      </c>
      <c r="B123" s="62">
        <v>411</v>
      </c>
      <c r="C123" s="66">
        <v>68411654</v>
      </c>
      <c r="D123" s="66">
        <v>12038359</v>
      </c>
      <c r="E123" s="66">
        <v>8807187</v>
      </c>
      <c r="F123" s="66">
        <v>71642826</v>
      </c>
    </row>
    <row r="124" spans="1:6" ht="12.75">
      <c r="A124" s="62" t="s">
        <v>219</v>
      </c>
      <c r="B124" s="62">
        <v>412</v>
      </c>
      <c r="C124" s="66"/>
      <c r="D124" s="66">
        <v>315790</v>
      </c>
      <c r="E124" s="66">
        <v>311000</v>
      </c>
      <c r="F124" s="66">
        <v>4790</v>
      </c>
    </row>
    <row r="125" spans="1:6" ht="12.75">
      <c r="A125" s="62" t="s">
        <v>220</v>
      </c>
      <c r="B125" s="62">
        <v>413</v>
      </c>
      <c r="C125" s="66"/>
      <c r="D125" s="66"/>
      <c r="E125" s="66"/>
      <c r="F125" s="66"/>
    </row>
    <row r="126" spans="1:6" ht="12.75">
      <c r="A126" s="62" t="s">
        <v>221</v>
      </c>
      <c r="B126" s="62">
        <v>414</v>
      </c>
      <c r="C126" s="66"/>
      <c r="D126" s="66">
        <v>10749728</v>
      </c>
      <c r="E126" s="66">
        <v>10665667</v>
      </c>
      <c r="F126" s="66">
        <v>84061</v>
      </c>
    </row>
    <row r="127" spans="1:6" ht="12.75">
      <c r="A127" s="62" t="s">
        <v>222</v>
      </c>
      <c r="B127" s="62">
        <v>420</v>
      </c>
      <c r="C127" s="66"/>
      <c r="D127" s="66">
        <v>1250000</v>
      </c>
      <c r="E127" s="66">
        <v>1250000</v>
      </c>
      <c r="F127" s="66"/>
    </row>
    <row r="128" spans="1:6" ht="12.75">
      <c r="A128" s="62" t="s">
        <v>223</v>
      </c>
      <c r="B128" s="62">
        <v>421</v>
      </c>
      <c r="C128" s="66"/>
      <c r="D128" s="66"/>
      <c r="E128" s="66"/>
      <c r="F128" s="66"/>
    </row>
    <row r="129" spans="1:6" ht="12.75">
      <c r="A129" s="62" t="s">
        <v>224</v>
      </c>
      <c r="B129" s="62">
        <v>422</v>
      </c>
      <c r="C129" s="66"/>
      <c r="D129" s="66"/>
      <c r="E129" s="66"/>
      <c r="F129" s="66"/>
    </row>
    <row r="130" spans="1:6" ht="12.75">
      <c r="A130" s="62" t="s">
        <v>225</v>
      </c>
      <c r="B130" s="62">
        <v>423</v>
      </c>
      <c r="C130" s="66"/>
      <c r="D130" s="66"/>
      <c r="E130" s="66"/>
      <c r="F130" s="66"/>
    </row>
    <row r="131" spans="1:6" ht="12.75">
      <c r="A131" s="62" t="s">
        <v>226</v>
      </c>
      <c r="B131" s="62">
        <v>424</v>
      </c>
      <c r="C131" s="66"/>
      <c r="D131" s="66"/>
      <c r="E131" s="66"/>
      <c r="F131" s="66"/>
    </row>
    <row r="132" spans="1:6" ht="12.75">
      <c r="A132" s="62" t="s">
        <v>227</v>
      </c>
      <c r="B132" s="62">
        <v>425</v>
      </c>
      <c r="C132" s="66"/>
      <c r="D132" s="66"/>
      <c r="E132" s="66"/>
      <c r="F132" s="66"/>
    </row>
    <row r="133" spans="1:6" ht="12.75">
      <c r="A133" s="62" t="s">
        <v>221</v>
      </c>
      <c r="B133" s="62">
        <v>426</v>
      </c>
      <c r="C133" s="66"/>
      <c r="D133" s="66">
        <v>8918672</v>
      </c>
      <c r="E133" s="66">
        <v>8918672</v>
      </c>
      <c r="F133" s="66"/>
    </row>
    <row r="134" spans="1:6" ht="12.75">
      <c r="A134" s="62" t="s">
        <v>228</v>
      </c>
      <c r="B134" s="62">
        <v>430</v>
      </c>
      <c r="C134" s="66">
        <v>67836555</v>
      </c>
      <c r="D134" s="66">
        <v>15000313</v>
      </c>
      <c r="E134" s="66">
        <v>11915667</v>
      </c>
      <c r="F134" s="66">
        <v>70921201</v>
      </c>
    </row>
    <row r="135" spans="1:6" ht="12.75">
      <c r="A135" s="62" t="s">
        <v>12</v>
      </c>
      <c r="B135" s="62">
        <v>440</v>
      </c>
      <c r="C135" s="66">
        <v>16633249</v>
      </c>
      <c r="D135" s="66">
        <v>2087153</v>
      </c>
      <c r="E135" s="66">
        <v>8470414</v>
      </c>
      <c r="F135" s="66">
        <v>9014846</v>
      </c>
    </row>
    <row r="136" spans="1:6" ht="12.75">
      <c r="A136" s="62" t="s">
        <v>229</v>
      </c>
      <c r="B136" s="62">
        <v>450</v>
      </c>
      <c r="C136" s="66"/>
      <c r="D136" s="66"/>
      <c r="E136" s="66"/>
      <c r="F136" s="66"/>
    </row>
    <row r="137" spans="1:6" ht="12.75">
      <c r="A137" s="62" t="s">
        <v>230</v>
      </c>
      <c r="B137" s="62">
        <v>460</v>
      </c>
      <c r="C137" s="66"/>
      <c r="D137" s="66"/>
      <c r="E137" s="66"/>
      <c r="F137" s="66"/>
    </row>
    <row r="139" spans="1:6" ht="15">
      <c r="A139" s="1" t="s">
        <v>231</v>
      </c>
      <c r="B139" s="1"/>
      <c r="C139" s="1"/>
      <c r="D139" s="1"/>
      <c r="E139" s="1"/>
      <c r="F139" s="1"/>
    </row>
    <row r="141" spans="1:6" ht="12.75">
      <c r="A141" s="69" t="s">
        <v>131</v>
      </c>
      <c r="B141" s="69" t="s">
        <v>1</v>
      </c>
      <c r="C141" s="69" t="s">
        <v>232</v>
      </c>
      <c r="D141" s="69" t="s">
        <v>233</v>
      </c>
      <c r="E141" s="69" t="s">
        <v>234</v>
      </c>
      <c r="F141" s="62"/>
    </row>
    <row r="142" spans="1:6" ht="12.75">
      <c r="A142" s="63">
        <v>1</v>
      </c>
      <c r="B142" s="63">
        <v>2</v>
      </c>
      <c r="C142" s="63">
        <v>3</v>
      </c>
      <c r="D142" s="63">
        <v>4</v>
      </c>
      <c r="E142" s="63">
        <v>5</v>
      </c>
      <c r="F142" s="62"/>
    </row>
    <row r="143" spans="1:6" ht="12.75">
      <c r="A143" s="62" t="s">
        <v>235</v>
      </c>
      <c r="B143" s="62">
        <v>810</v>
      </c>
      <c r="C143" s="66">
        <v>5487185</v>
      </c>
      <c r="D143" s="66">
        <v>3583315</v>
      </c>
      <c r="E143" s="66">
        <v>1559359</v>
      </c>
      <c r="F143" s="66"/>
    </row>
    <row r="144" spans="1:6" ht="12.75">
      <c r="A144" s="62" t="s">
        <v>236</v>
      </c>
      <c r="B144" s="62">
        <v>820</v>
      </c>
      <c r="C144" s="66">
        <v>36761919</v>
      </c>
      <c r="D144" s="66"/>
      <c r="E144" s="66">
        <v>16908138</v>
      </c>
      <c r="F144" s="66"/>
    </row>
    <row r="145" spans="1:6" ht="12.75">
      <c r="A145" s="62" t="s">
        <v>237</v>
      </c>
      <c r="B145" s="62">
        <v>830</v>
      </c>
      <c r="C145" s="66">
        <v>2274841</v>
      </c>
      <c r="D145" s="66"/>
      <c r="E145" s="66">
        <v>806111</v>
      </c>
      <c r="F145" s="66"/>
    </row>
    <row r="146" spans="1:6" ht="12.75">
      <c r="A146" s="62" t="s">
        <v>238</v>
      </c>
      <c r="B146" s="62">
        <v>840</v>
      </c>
      <c r="C146" s="66">
        <v>12191718</v>
      </c>
      <c r="D146" s="66"/>
      <c r="E146" s="66">
        <v>4305362</v>
      </c>
      <c r="F146" s="66"/>
    </row>
    <row r="147" spans="1:6" ht="12.75">
      <c r="A147" s="62" t="s">
        <v>239</v>
      </c>
      <c r="B147" s="62">
        <v>850</v>
      </c>
      <c r="C147" s="66">
        <v>7030</v>
      </c>
      <c r="D147" s="66"/>
      <c r="E147" s="66"/>
      <c r="F147" s="66"/>
    </row>
    <row r="148" spans="1:6" ht="12.75">
      <c r="A148" s="62" t="s">
        <v>240</v>
      </c>
      <c r="B148" s="62">
        <v>860</v>
      </c>
      <c r="C148" s="66">
        <v>430476</v>
      </c>
      <c r="D148" s="66"/>
      <c r="E148" s="66"/>
      <c r="F148" s="66"/>
    </row>
    <row r="149" spans="1:6" ht="12.75">
      <c r="A149" s="62" t="s">
        <v>241</v>
      </c>
      <c r="B149" s="62">
        <v>870</v>
      </c>
      <c r="C149" s="66"/>
      <c r="D149" s="66"/>
      <c r="E149" s="66"/>
      <c r="F149" s="66"/>
    </row>
  </sheetData>
  <printOptions/>
  <pageMargins left="0.97" right="0.5905511811023623" top="0.69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E55"/>
  <sheetViews>
    <sheetView workbookViewId="0" topLeftCell="A44">
      <selection activeCell="B11" sqref="B11"/>
      <selection activeCell="E40" sqref="E40"/>
    </sheetView>
  </sheetViews>
  <sheetFormatPr defaultColWidth="9.00390625" defaultRowHeight="12.75"/>
  <cols>
    <col min="1" max="1" width="33.875" style="0" bestFit="1" customWidth="1"/>
    <col min="2" max="2" width="14.50390625" style="0" bestFit="1" customWidth="1"/>
    <col min="3" max="3" width="13.00390625" style="0" bestFit="1" customWidth="1"/>
    <col min="4" max="4" width="13.125" style="0" bestFit="1" customWidth="1"/>
    <col min="5" max="5" width="10.50390625" style="0" customWidth="1"/>
  </cols>
  <sheetData>
    <row r="1" spans="1:4" ht="15">
      <c r="A1" s="177" t="s">
        <v>242</v>
      </c>
      <c r="B1" s="177"/>
      <c r="C1" s="177"/>
      <c r="D1" s="177"/>
    </row>
    <row r="2" ht="13.5" thickBot="1"/>
    <row r="3" spans="1:4" ht="15" thickBot="1">
      <c r="A3" s="12" t="s">
        <v>243</v>
      </c>
      <c r="B3" s="14" t="s">
        <v>244</v>
      </c>
      <c r="C3" s="13" t="s">
        <v>245</v>
      </c>
      <c r="D3" s="14" t="s">
        <v>246</v>
      </c>
    </row>
    <row r="4" spans="1:4" ht="13.5" thickBot="1">
      <c r="A4" s="174" t="s">
        <v>0</v>
      </c>
      <c r="B4" s="175"/>
      <c r="C4" s="175"/>
      <c r="D4" s="176"/>
    </row>
    <row r="5" spans="1:4" ht="12.75">
      <c r="A5" s="9" t="s">
        <v>247</v>
      </c>
      <c r="B5" s="15"/>
      <c r="C5" s="8"/>
      <c r="D5" s="15"/>
    </row>
    <row r="6" spans="1:4" ht="12.75">
      <c r="A6" s="10" t="s">
        <v>9</v>
      </c>
      <c r="B6" s="27">
        <f>Форма1!C11/Форма1!C70*100</f>
        <v>48.15821840074444</v>
      </c>
      <c r="C6" s="31">
        <f>Форма1!D11/Форма1!D70*100</f>
        <v>33.83648514204497</v>
      </c>
      <c r="D6" s="27">
        <f>C6-B6</f>
        <v>-14.321733258699467</v>
      </c>
    </row>
    <row r="7" spans="1:4" ht="12.75">
      <c r="A7" s="10" t="s">
        <v>13</v>
      </c>
      <c r="B7" s="27">
        <f>Форма1!C16/Форма1!C70*100</f>
        <v>0.10645912480147983</v>
      </c>
      <c r="C7" s="31">
        <f>Форма1!D16/Форма1!D70*100</f>
        <v>0.31810638459798646</v>
      </c>
      <c r="D7" s="27">
        <f>C7-B7</f>
        <v>0.21164725979650661</v>
      </c>
    </row>
    <row r="8" spans="1:4" ht="12.75">
      <c r="A8" s="10" t="s">
        <v>19</v>
      </c>
      <c r="B8" s="27">
        <f>(Форма1!C7+Форма1!C15+Форма1!C23)/Форма1!C70*100</f>
        <v>2.6999387068836196</v>
      </c>
      <c r="C8" s="31">
        <f>(Форма1!D7+Форма1!D15+Форма1!D23)/Форма1!D70*100</f>
        <v>2.1265723013427484</v>
      </c>
      <c r="D8" s="27">
        <f>C8-B8</f>
        <v>-0.5733664055408711</v>
      </c>
    </row>
    <row r="9" spans="1:4" s="5" customFormat="1" ht="12.75">
      <c r="A9" s="16" t="s">
        <v>20</v>
      </c>
      <c r="B9" s="28">
        <f>B6+B7+B8</f>
        <v>50.96461623242954</v>
      </c>
      <c r="C9" s="32">
        <f>C6+C7+C8</f>
        <v>36.28116382798571</v>
      </c>
      <c r="D9" s="28">
        <f>C9-B9</f>
        <v>-14.683452404443834</v>
      </c>
    </row>
    <row r="10" spans="1:4" ht="12.75">
      <c r="A10" s="9" t="s">
        <v>21</v>
      </c>
      <c r="B10" s="21"/>
      <c r="C10" s="22"/>
      <c r="D10" s="21"/>
    </row>
    <row r="11" spans="1:4" ht="12.75">
      <c r="A11" s="10" t="s">
        <v>248</v>
      </c>
      <c r="B11" s="33">
        <f>B39*100/B44</f>
        <v>31.075466353233665</v>
      </c>
      <c r="C11" s="34">
        <f>D39*100/D44</f>
        <v>36.97084615649882</v>
      </c>
      <c r="D11" s="33">
        <f>C11-B11</f>
        <v>5.895379803265158</v>
      </c>
    </row>
    <row r="12" spans="1:4" ht="12.75">
      <c r="A12" s="10" t="s">
        <v>249</v>
      </c>
      <c r="B12" s="33">
        <f>(Форма1!C37+Форма1!C44)/Форма1!C70*100</f>
        <v>10.649238361549115</v>
      </c>
      <c r="C12" s="34">
        <f>(Форма1!D37+Форма1!D44)/Форма1!D70*100</f>
        <v>15.727712949328676</v>
      </c>
      <c r="D12" s="33">
        <f>C12-B12</f>
        <v>5.078474587779562</v>
      </c>
    </row>
    <row r="13" spans="1:4" ht="12.75">
      <c r="A13" s="10" t="s">
        <v>250</v>
      </c>
      <c r="B13" s="33">
        <f>Форма1!C58/Форма1!C70*100</f>
        <v>0.03522096853927822</v>
      </c>
      <c r="C13" s="34">
        <f>Форма1!D58/Форма1!D70*100</f>
        <v>1.7823353662861938</v>
      </c>
      <c r="D13" s="33">
        <f>C13-B13</f>
        <v>1.7471143977469157</v>
      </c>
    </row>
    <row r="14" spans="1:4" ht="12.75">
      <c r="A14" s="10" t="s">
        <v>49</v>
      </c>
      <c r="B14" s="33">
        <f>(Форма1!C52+Форма1!C64)/Форма1!C70*100</f>
        <v>7.2754580842484</v>
      </c>
      <c r="C14" s="34">
        <f>(Форма1!D52+Форма1!D64)/Форма1!D70*100</f>
        <v>9.237941699900604</v>
      </c>
      <c r="D14" s="33">
        <f>C14-B14</f>
        <v>1.9624836156522045</v>
      </c>
    </row>
    <row r="15" spans="1:4" s="5" customFormat="1" ht="12.75">
      <c r="A15" s="16" t="s">
        <v>50</v>
      </c>
      <c r="B15" s="35">
        <f>B11+B12+B13+B14</f>
        <v>49.03538376757046</v>
      </c>
      <c r="C15" s="36">
        <f>C11+C12+C13+C14</f>
        <v>63.71883617201429</v>
      </c>
      <c r="D15" s="35">
        <f>C15-B15</f>
        <v>14.683452404443834</v>
      </c>
    </row>
    <row r="16" spans="1:4" s="5" customFormat="1" ht="13.5" thickBot="1">
      <c r="A16" s="16" t="s">
        <v>251</v>
      </c>
      <c r="B16" s="23">
        <f>B15+B9</f>
        <v>100</v>
      </c>
      <c r="C16" s="24">
        <f>C15+C9</f>
        <v>100</v>
      </c>
      <c r="D16" s="23"/>
    </row>
    <row r="17" spans="1:4" ht="13.5" thickBot="1">
      <c r="A17" s="174" t="s">
        <v>56</v>
      </c>
      <c r="B17" s="175"/>
      <c r="C17" s="175"/>
      <c r="D17" s="176"/>
    </row>
    <row r="18" spans="1:4" ht="12.75">
      <c r="A18" s="9" t="s">
        <v>252</v>
      </c>
      <c r="B18" s="15"/>
      <c r="C18" s="8"/>
      <c r="D18" s="15"/>
    </row>
    <row r="19" spans="1:4" ht="12.75">
      <c r="A19" s="10" t="s">
        <v>253</v>
      </c>
      <c r="B19" s="25">
        <f>Форма1!C75/Форма1!C116*100</f>
        <v>0.030030264329669924</v>
      </c>
      <c r="C19" s="29">
        <f>Форма1!D75/Форма1!D116*100</f>
        <v>0.034686897301610085</v>
      </c>
      <c r="D19" s="25">
        <f>C19-B19</f>
        <v>0.004656632971940161</v>
      </c>
    </row>
    <row r="20" spans="1:4" ht="12.75">
      <c r="A20" s="10" t="s">
        <v>254</v>
      </c>
      <c r="B20" s="25">
        <f>(Форма1!C76+Форма1!C77+Форма1!C82+Форма1!C83+Форма1!C85)/Форма1!C116*100</f>
        <v>56.20739327289716</v>
      </c>
      <c r="C20" s="29">
        <f>(Форма1!D76+Форма1!D77+Форма1!D82+Форма1!D83+Форма1!D85)/Форма1!D116*100</f>
        <v>47.387214203010465</v>
      </c>
      <c r="D20" s="25">
        <f>C20-B20</f>
        <v>-8.820179069886692</v>
      </c>
    </row>
    <row r="21" spans="1:4" s="5" customFormat="1" ht="12.75">
      <c r="A21" s="16" t="s">
        <v>20</v>
      </c>
      <c r="B21" s="26">
        <f>B19+B20</f>
        <v>56.237423537226825</v>
      </c>
      <c r="C21" s="30">
        <f>C19+C20</f>
        <v>47.42190110031208</v>
      </c>
      <c r="D21" s="26">
        <f>C21-B21</f>
        <v>-8.815522436914748</v>
      </c>
    </row>
    <row r="22" spans="1:4" ht="12.75">
      <c r="A22" s="9" t="s">
        <v>255</v>
      </c>
      <c r="B22" s="25"/>
      <c r="C22" s="29"/>
      <c r="D22" s="25"/>
    </row>
    <row r="23" spans="1:4" ht="12.75">
      <c r="A23" s="10" t="s">
        <v>256</v>
      </c>
      <c r="B23" s="25">
        <f>Форма1!C93/Форма1!C116*100</f>
        <v>0.03520797493519335</v>
      </c>
      <c r="C23" s="29">
        <f>Форма1!D93/Форма1!D116*100</f>
        <v>0.00036701226246890984</v>
      </c>
      <c r="D23" s="25">
        <f>C23-B23</f>
        <v>-0.03484096267272444</v>
      </c>
    </row>
    <row r="24" spans="1:4" ht="12.75">
      <c r="A24" s="10" t="s">
        <v>257</v>
      </c>
      <c r="B24" s="25">
        <f>Форма1!C115/Форма1!C116*100</f>
        <v>43.72736848783798</v>
      </c>
      <c r="C24" s="29">
        <f>Форма1!D115/Форма1!D116*100</f>
        <v>52.57773188742546</v>
      </c>
      <c r="D24" s="25">
        <f>C24-B24</f>
        <v>8.85036339958748</v>
      </c>
    </row>
    <row r="25" spans="1:4" s="5" customFormat="1" ht="12.75">
      <c r="A25" s="16" t="s">
        <v>50</v>
      </c>
      <c r="B25" s="26">
        <f>B23+B24</f>
        <v>43.76257646277317</v>
      </c>
      <c r="C25" s="30">
        <f>C23+C24</f>
        <v>52.57809889968792</v>
      </c>
      <c r="D25" s="26">
        <f>C25-B25</f>
        <v>8.815522436914755</v>
      </c>
    </row>
    <row r="26" spans="1:4" s="5" customFormat="1" ht="13.5" thickBot="1">
      <c r="A26" s="17" t="s">
        <v>258</v>
      </c>
      <c r="B26" s="18">
        <f>B25+B21</f>
        <v>100</v>
      </c>
      <c r="C26" s="19">
        <f>C25+C21</f>
        <v>100</v>
      </c>
      <c r="D26" s="18"/>
    </row>
    <row r="28" ht="5.25" customHeight="1"/>
    <row r="29" spans="1:4" ht="15">
      <c r="A29" s="177" t="s">
        <v>259</v>
      </c>
      <c r="B29" s="177"/>
      <c r="C29" s="177"/>
      <c r="D29" s="177"/>
    </row>
    <row r="30" ht="13.5" thickBot="1"/>
    <row r="31" spans="1:5" ht="15" thickBot="1">
      <c r="A31" s="12" t="s">
        <v>243</v>
      </c>
      <c r="B31" s="178" t="s">
        <v>244</v>
      </c>
      <c r="C31" s="179"/>
      <c r="D31" s="180" t="s">
        <v>245</v>
      </c>
      <c r="E31" s="179"/>
    </row>
    <row r="32" spans="1:5" ht="13.5" thickBot="1">
      <c r="A32" s="7" t="s">
        <v>0</v>
      </c>
      <c r="B32" s="38" t="s">
        <v>260</v>
      </c>
      <c r="C32" s="41" t="s">
        <v>261</v>
      </c>
      <c r="D32" s="39" t="s">
        <v>260</v>
      </c>
      <c r="E32" s="41" t="s">
        <v>261</v>
      </c>
    </row>
    <row r="33" spans="1:5" ht="12.75">
      <c r="A33" s="9" t="s">
        <v>247</v>
      </c>
      <c r="B33" s="10"/>
      <c r="C33" s="15"/>
      <c r="D33" s="8"/>
      <c r="E33" s="15"/>
    </row>
    <row r="34" spans="1:5" ht="12.75">
      <c r="A34" s="10" t="s">
        <v>9</v>
      </c>
      <c r="B34" s="42">
        <f>Форма1!C11</f>
        <v>400280596</v>
      </c>
      <c r="C34" s="21">
        <v>100</v>
      </c>
      <c r="D34" s="22">
        <f>Форма1!D11</f>
        <v>243485481</v>
      </c>
      <c r="E34" s="43">
        <f>D34*100/B34</f>
        <v>60.82869952556981</v>
      </c>
    </row>
    <row r="35" spans="1:5" ht="12.75">
      <c r="A35" s="10" t="s">
        <v>13</v>
      </c>
      <c r="B35" s="42">
        <f>Форма1!C16</f>
        <v>884865</v>
      </c>
      <c r="C35" s="21">
        <v>100</v>
      </c>
      <c r="D35" s="22">
        <f>Форма1!D16</f>
        <v>2289076</v>
      </c>
      <c r="E35" s="43">
        <f>D35*100/B35</f>
        <v>258.6921168765857</v>
      </c>
    </row>
    <row r="36" spans="1:5" ht="12.75">
      <c r="A36" s="10" t="s">
        <v>19</v>
      </c>
      <c r="B36" s="42">
        <f>Форма1!C7+Форма1!C15+Форма1!C23</f>
        <v>22441301</v>
      </c>
      <c r="C36" s="21">
        <v>100</v>
      </c>
      <c r="D36" s="22">
        <f>Форма1!D7+Форма1!D15+Форма1!D23</f>
        <v>15302697</v>
      </c>
      <c r="E36" s="43">
        <f>D36*100/B36</f>
        <v>68.18988346531246</v>
      </c>
    </row>
    <row r="37" spans="1:5" s="5" customFormat="1" ht="12.75">
      <c r="A37" s="16" t="s">
        <v>20</v>
      </c>
      <c r="B37" s="7">
        <f>Форма1!C24</f>
        <v>423606762</v>
      </c>
      <c r="C37" s="23">
        <v>100</v>
      </c>
      <c r="D37" s="24">
        <f>Форма1!D24</f>
        <v>261077254</v>
      </c>
      <c r="E37" s="44">
        <f>D37*C37/B37</f>
        <v>61.631984524364135</v>
      </c>
    </row>
    <row r="38" spans="1:5" ht="12.75">
      <c r="A38" s="9" t="s">
        <v>21</v>
      </c>
      <c r="B38" s="42"/>
      <c r="C38" s="21"/>
      <c r="D38" s="22"/>
      <c r="E38" s="21"/>
    </row>
    <row r="39" spans="1:5" ht="12.75">
      <c r="A39" s="10" t="s">
        <v>248</v>
      </c>
      <c r="B39" s="42">
        <f>Форма1!C26+Форма1!C36</f>
        <v>258292491</v>
      </c>
      <c r="C39" s="21">
        <v>100</v>
      </c>
      <c r="D39" s="22">
        <f>Форма1!D26+Форма1!D36</f>
        <v>266040170</v>
      </c>
      <c r="E39" s="43">
        <f aca="true" t="shared" si="0" ref="E39:E44">D39*C39/B39</f>
        <v>102.99957577938261</v>
      </c>
    </row>
    <row r="40" spans="1:5" ht="12.75">
      <c r="A40" s="10" t="s">
        <v>249</v>
      </c>
      <c r="B40" s="42">
        <f>Форма1!C37+Форма1!C44</f>
        <v>88514144</v>
      </c>
      <c r="C40" s="21">
        <v>100</v>
      </c>
      <c r="D40" s="22">
        <f>Форма1!D44+Форма1!D37</f>
        <v>113175755</v>
      </c>
      <c r="E40" s="43">
        <f t="shared" si="0"/>
        <v>127.8617742719175</v>
      </c>
    </row>
    <row r="41" spans="1:5" ht="12.75">
      <c r="A41" s="10" t="s">
        <v>250</v>
      </c>
      <c r="B41" s="42">
        <f>Форма1!C58</f>
        <v>292749</v>
      </c>
      <c r="C41" s="21">
        <v>100</v>
      </c>
      <c r="D41" s="22">
        <f>Форма1!D58</f>
        <v>12825587</v>
      </c>
      <c r="E41" s="43">
        <f t="shared" si="0"/>
        <v>4381.086528049626</v>
      </c>
    </row>
    <row r="42" spans="1:5" ht="12.75">
      <c r="A42" s="10" t="s">
        <v>49</v>
      </c>
      <c r="B42" s="42">
        <f>Форма1!C64+Форма1!C52</f>
        <v>60472019</v>
      </c>
      <c r="C42" s="21">
        <v>100</v>
      </c>
      <c r="D42" s="22">
        <f>Форма1!D64+Форма1!D52</f>
        <v>66475719</v>
      </c>
      <c r="E42" s="43">
        <f t="shared" si="0"/>
        <v>109.92806276238271</v>
      </c>
    </row>
    <row r="43" spans="1:5" s="5" customFormat="1" ht="12.75">
      <c r="A43" s="16" t="s">
        <v>50</v>
      </c>
      <c r="B43" s="7">
        <f>B39+B40+B41+B42</f>
        <v>407571403</v>
      </c>
      <c r="C43" s="23">
        <v>100</v>
      </c>
      <c r="D43" s="24">
        <f>D39+D40+D41+D42</f>
        <v>458517231</v>
      </c>
      <c r="E43" s="44">
        <f t="shared" si="0"/>
        <v>112.49985343059018</v>
      </c>
    </row>
    <row r="44" spans="1:5" s="5" customFormat="1" ht="12.75">
      <c r="A44" s="16" t="s">
        <v>251</v>
      </c>
      <c r="B44" s="7">
        <f>B37+B43</f>
        <v>831178165</v>
      </c>
      <c r="C44" s="23">
        <v>100</v>
      </c>
      <c r="D44" s="24">
        <f>D37+D43</f>
        <v>719594485</v>
      </c>
      <c r="E44" s="44">
        <f t="shared" si="0"/>
        <v>86.57523925691672</v>
      </c>
    </row>
    <row r="45" spans="1:5" ht="13.5" thickBot="1">
      <c r="A45" s="11"/>
      <c r="B45" s="10"/>
      <c r="C45" s="15"/>
      <c r="D45" s="8"/>
      <c r="E45" s="15"/>
    </row>
    <row r="46" spans="1:5" ht="13.5" thickBot="1">
      <c r="A46" s="174" t="s">
        <v>56</v>
      </c>
      <c r="B46" s="175"/>
      <c r="C46" s="175"/>
      <c r="D46" s="175"/>
      <c r="E46" s="176"/>
    </row>
    <row r="47" spans="1:5" ht="12.75">
      <c r="A47" s="9" t="s">
        <v>252</v>
      </c>
      <c r="B47" s="10"/>
      <c r="C47" s="15"/>
      <c r="D47" s="8"/>
      <c r="E47" s="15"/>
    </row>
    <row r="48" spans="1:5" ht="12.75">
      <c r="A48" s="10" t="s">
        <v>253</v>
      </c>
      <c r="B48" s="42">
        <f>Форма1!C75</f>
        <v>249605</v>
      </c>
      <c r="C48" s="21">
        <v>100</v>
      </c>
      <c r="D48" s="22">
        <f>Форма1!D75</f>
        <v>249605</v>
      </c>
      <c r="E48" s="43">
        <f>D48*C48/B48</f>
        <v>100</v>
      </c>
    </row>
    <row r="49" spans="1:5" ht="12.75">
      <c r="A49" s="10" t="s">
        <v>254</v>
      </c>
      <c r="B49" s="42">
        <f>Форма1!C76+Форма1!C77+Форма1!C82+Форма1!C83</f>
        <v>467183580</v>
      </c>
      <c r="C49" s="21">
        <v>100</v>
      </c>
      <c r="D49" s="22">
        <f>Форма1!D76+Форма1!D77+Форма1!D82+Форма1!D83+Форма1!D85</f>
        <v>340995780</v>
      </c>
      <c r="E49" s="43">
        <f>D49*C49/B49</f>
        <v>72.98967570735256</v>
      </c>
    </row>
    <row r="50" spans="1:5" s="5" customFormat="1" ht="12.75">
      <c r="A50" s="16" t="s">
        <v>20</v>
      </c>
      <c r="B50" s="7">
        <f>B48+B49</f>
        <v>467433185</v>
      </c>
      <c r="C50" s="23">
        <v>100</v>
      </c>
      <c r="D50" s="24">
        <f>D48+D49</f>
        <v>341245385</v>
      </c>
      <c r="E50" s="44">
        <f>D50*C50/B50</f>
        <v>73.00409897085078</v>
      </c>
    </row>
    <row r="51" spans="1:5" ht="12.75">
      <c r="A51" s="9" t="s">
        <v>255</v>
      </c>
      <c r="B51" s="42"/>
      <c r="C51" s="21"/>
      <c r="D51" s="22"/>
      <c r="E51" s="21"/>
    </row>
    <row r="52" spans="1:5" ht="12.75">
      <c r="A52" s="10" t="s">
        <v>256</v>
      </c>
      <c r="B52" s="42">
        <f>Форма1!C93</f>
        <v>292641</v>
      </c>
      <c r="C52" s="21">
        <v>100</v>
      </c>
      <c r="D52" s="22">
        <f>Форма1!D93</f>
        <v>2641</v>
      </c>
      <c r="E52" s="43">
        <f>D52*C52/B52</f>
        <v>0.9024709456296282</v>
      </c>
    </row>
    <row r="53" spans="1:5" ht="12.75">
      <c r="A53" s="10" t="s">
        <v>257</v>
      </c>
      <c r="B53" s="42">
        <f>Форма1!C115</f>
        <v>363452339</v>
      </c>
      <c r="C53" s="21">
        <v>100</v>
      </c>
      <c r="D53" s="22">
        <f>Форма1!D115</f>
        <v>378346459</v>
      </c>
      <c r="E53" s="43">
        <f>D53*C53/B53</f>
        <v>104.09795684379954</v>
      </c>
    </row>
    <row r="54" spans="1:5" s="5" customFormat="1" ht="12.75">
      <c r="A54" s="16" t="s">
        <v>50</v>
      </c>
      <c r="B54" s="7">
        <f>B52+B53</f>
        <v>363744980</v>
      </c>
      <c r="C54" s="23">
        <v>100</v>
      </c>
      <c r="D54" s="24">
        <f>D52+D53</f>
        <v>378349100</v>
      </c>
      <c r="E54" s="44">
        <f>D54*C54/B54</f>
        <v>104.01493375936074</v>
      </c>
    </row>
    <row r="55" spans="1:5" s="5" customFormat="1" ht="13.5" thickBot="1">
      <c r="A55" s="17" t="s">
        <v>258</v>
      </c>
      <c r="B55" s="20">
        <f>B50+B54</f>
        <v>831178165</v>
      </c>
      <c r="C55" s="45">
        <v>100</v>
      </c>
      <c r="D55" s="46">
        <f>D50+D54</f>
        <v>719594485</v>
      </c>
      <c r="E55" s="47">
        <f>D55*C55/B55</f>
        <v>86.57523925691672</v>
      </c>
    </row>
  </sheetData>
  <mergeCells count="7">
    <mergeCell ref="A46:E46"/>
    <mergeCell ref="A1:D1"/>
    <mergeCell ref="A29:D29"/>
    <mergeCell ref="B31:C31"/>
    <mergeCell ref="D31:E31"/>
    <mergeCell ref="A17:D17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D40"/>
  <sheetViews>
    <sheetView workbookViewId="0" topLeftCell="A26">
      <selection activeCell="A1" sqref="A1"/>
      <selection activeCell="B26" sqref="B26:D40"/>
    </sheetView>
  </sheetViews>
  <sheetFormatPr defaultColWidth="9.00390625" defaultRowHeight="12.75"/>
  <cols>
    <col min="1" max="1" width="22.875" style="0" customWidth="1"/>
    <col min="2" max="2" width="36.50390625" style="0" customWidth="1"/>
    <col min="3" max="3" width="14.50390625" style="2" customWidth="1"/>
    <col min="4" max="4" width="13.00390625" style="2" customWidth="1"/>
  </cols>
  <sheetData>
    <row r="1" spans="1:4" ht="17.25">
      <c r="A1" s="181"/>
      <c r="B1" s="181"/>
      <c r="C1" s="181"/>
      <c r="D1" s="6"/>
    </row>
    <row r="4" spans="1:4" ht="15">
      <c r="A4" s="177" t="s">
        <v>262</v>
      </c>
      <c r="B4" s="177"/>
      <c r="C4" s="177"/>
      <c r="D4" s="177"/>
    </row>
    <row r="5" ht="13.5" thickBot="1"/>
    <row r="6" spans="1:4" ht="13.5">
      <c r="A6" s="48" t="s">
        <v>263</v>
      </c>
      <c r="B6" s="56" t="s">
        <v>94</v>
      </c>
      <c r="C6" s="49" t="s">
        <v>344</v>
      </c>
      <c r="D6" s="56" t="s">
        <v>344</v>
      </c>
    </row>
    <row r="7" spans="1:4" ht="14.25" thickBot="1">
      <c r="A7" s="50"/>
      <c r="B7" s="57"/>
      <c r="C7" s="51" t="s">
        <v>345</v>
      </c>
      <c r="D7" s="58" t="s">
        <v>346</v>
      </c>
    </row>
    <row r="8" spans="1:4" ht="13.5" thickBot="1">
      <c r="A8" s="182" t="s">
        <v>264</v>
      </c>
      <c r="B8" s="183"/>
      <c r="C8" s="22"/>
      <c r="D8" s="37"/>
    </row>
    <row r="9" spans="1:4" ht="12.75">
      <c r="A9" s="55" t="s">
        <v>347</v>
      </c>
      <c r="B9" s="152" t="s">
        <v>265</v>
      </c>
      <c r="C9" s="61">
        <f>Форма1!C11</f>
        <v>400280596</v>
      </c>
      <c r="D9" s="61">
        <f>Форма1!D11</f>
        <v>243485481</v>
      </c>
    </row>
    <row r="10" spans="1:4" ht="12.75">
      <c r="A10" s="9" t="s">
        <v>348</v>
      </c>
      <c r="B10" s="152" t="s">
        <v>267</v>
      </c>
      <c r="C10" s="61">
        <f>Форма1!C11/Форма1!C70</f>
        <v>0.4815821840074444</v>
      </c>
      <c r="D10" s="61">
        <f>Форма1!D11/Форма1!D70</f>
        <v>0.3383648514204497</v>
      </c>
    </row>
    <row r="11" spans="1:4" ht="26.25">
      <c r="A11" s="52" t="s">
        <v>266</v>
      </c>
      <c r="B11" s="152" t="s">
        <v>297</v>
      </c>
      <c r="C11" s="61">
        <f>Форма5!D106/Форма5!F85</f>
        <v>0.23387854020118992</v>
      </c>
      <c r="D11" s="61"/>
    </row>
    <row r="12" spans="1:4" ht="14.25" customHeight="1">
      <c r="A12" s="10"/>
      <c r="B12" s="152" t="s">
        <v>268</v>
      </c>
      <c r="C12" s="61">
        <f>Форма1!C70</f>
        <v>831178165</v>
      </c>
      <c r="D12" s="61">
        <f>Форма1!D70</f>
        <v>719594485</v>
      </c>
    </row>
    <row r="13" spans="1:4" ht="26.25">
      <c r="A13" s="9" t="s">
        <v>350</v>
      </c>
      <c r="B13" s="152" t="s">
        <v>269</v>
      </c>
      <c r="C13" s="61">
        <f>Форма1!C86+Форма1!C93-Форма1!C24-Форма1!C37</f>
        <v>44085552</v>
      </c>
      <c r="D13" s="61">
        <f>Форма1!D86+Форма1!D93-Форма1!D24-Форма1!D37</f>
        <v>80052654</v>
      </c>
    </row>
    <row r="14" spans="1:4" ht="12.75">
      <c r="A14" s="9" t="s">
        <v>349</v>
      </c>
      <c r="B14" s="152" t="s">
        <v>270</v>
      </c>
      <c r="C14" s="61">
        <f>(Форма1!C65-Форма1!C55-Форма1!C49-Форма1!C37)/(Форма1!C70-Форма1!C69-Форма1!C55-Форма1!C49)</f>
        <v>0.4903135190034738</v>
      </c>
      <c r="D14" s="61">
        <f>(Форма1!D65-Форма1!D55-Форма1!D49-Форма1!D37)/(Форма1!D70-Форма1!D69-Форма1!D55-Форма1!D49)</f>
        <v>0.6370242164932657</v>
      </c>
    </row>
    <row r="15" spans="1:4" ht="12.75">
      <c r="A15" s="53" t="s">
        <v>266</v>
      </c>
      <c r="B15" s="152" t="s">
        <v>271</v>
      </c>
      <c r="C15" s="61">
        <f>(Форма1!C65-Форма1!C55-Форма1!C49-Форма1!C37)/Форма1!C115</f>
        <v>1.121296652323924</v>
      </c>
      <c r="D15" s="61">
        <f>(Форма1!D65-Форма1!D55-Форма1!D49-Форма1!D37)/Форма1!D115</f>
        <v>1.2115855774402795</v>
      </c>
    </row>
    <row r="16" spans="1:4" ht="12.75">
      <c r="A16" s="10"/>
      <c r="B16" s="152" t="s">
        <v>298</v>
      </c>
      <c r="C16" s="61">
        <f>(Форма1!C65-Форма1!C55-Форма1!C49-Форма1!C37-Форма1!C115)/(Форма1!C65-Форма1!C55-Форма1!C49-Форма1!C37)</f>
        <v>0.10817534509938366</v>
      </c>
      <c r="D16" s="61">
        <f>(Форма1!D65-Форма1!D55-Форма1!D49-Форма1!D37-Форма1!D115)/(Форма1!D65-Форма1!D55-Форма1!D49-Форма1!D37)</f>
        <v>0.1746352724727022</v>
      </c>
    </row>
    <row r="17" spans="1:4" ht="27" customHeight="1">
      <c r="A17" s="10"/>
      <c r="B17" s="152" t="s">
        <v>272</v>
      </c>
      <c r="C17" s="61">
        <f>Форма1!C93/Форма1!C116</f>
        <v>0.00035207974935193347</v>
      </c>
      <c r="D17" s="153">
        <f>Форма1!D93/Форма1!D116</f>
        <v>3.6701226246890983E-06</v>
      </c>
    </row>
    <row r="18" spans="1:4" ht="12.75">
      <c r="A18" s="10"/>
      <c r="B18" s="152" t="s">
        <v>273</v>
      </c>
      <c r="C18" s="61">
        <f>(Форма1!C86-Форма1!C69-Форма1!C55-Форма1!C49+Форма1!C93-Форма1!C24-Форма1!C37-Форма1!C95+Форма1!C101+Форма1!C102+Форма1!C107)/(Форма1!C26+Форма1!C36)</f>
        <v>0.8469563638998704</v>
      </c>
      <c r="D18" s="61">
        <f>(Форма1!D86-Форма1!D69-Форма1!D55-Форма1!D49+Форма1!D93-Форма1!D24-Форма1!D37-Форма1!D95+Форма1!D101+Форма1!D102+Форма1!D107)/(Форма1!D26+Форма1!D36)</f>
        <v>0.7220305076485254</v>
      </c>
    </row>
    <row r="19" spans="1:4" ht="12.75">
      <c r="A19" s="9" t="s">
        <v>351</v>
      </c>
      <c r="B19" s="152" t="s">
        <v>274</v>
      </c>
      <c r="C19" s="61">
        <f>Форма1!C69</f>
        <v>0</v>
      </c>
      <c r="D19" s="154">
        <f>Форма1!D69</f>
        <v>0</v>
      </c>
    </row>
    <row r="20" spans="1:4" ht="12.75">
      <c r="A20" s="9" t="s">
        <v>352</v>
      </c>
      <c r="B20" s="152" t="s">
        <v>276</v>
      </c>
      <c r="C20" s="61">
        <f>Форма5!C8+Форма5!C10+Форма5!C12+Форма5!C14+Форма5!C16</f>
        <v>3299214</v>
      </c>
      <c r="D20" s="61">
        <f>Форма5!F8+Форма5!F10+Форма5!F12+Форма5!F14+Форма5!F16</f>
        <v>3299214</v>
      </c>
    </row>
    <row r="21" spans="1:4" ht="26.25">
      <c r="A21" s="52" t="s">
        <v>275</v>
      </c>
      <c r="B21" s="152" t="s">
        <v>277</v>
      </c>
      <c r="C21" s="61">
        <f>Форма5!C24+Форма5!C27+Форма5!C32+Форма5!C35</f>
        <v>18299350</v>
      </c>
      <c r="D21" s="61">
        <f>Форма5!F24+Форма5!F27+Форма5!F32+Форма5!F35</f>
        <v>15913446</v>
      </c>
    </row>
    <row r="22" spans="1:4" ht="12.75">
      <c r="A22" s="10"/>
      <c r="B22" s="152" t="s">
        <v>278</v>
      </c>
      <c r="C22" s="61">
        <f>Форма5!C49</f>
        <v>0</v>
      </c>
      <c r="D22" s="61">
        <f>Форма5!D49</f>
        <v>1041354</v>
      </c>
    </row>
    <row r="23" spans="1:4" ht="12.75">
      <c r="A23" s="10"/>
      <c r="B23" s="152" t="s">
        <v>279</v>
      </c>
      <c r="C23" s="61">
        <f>Форма5!C51</f>
        <v>60251612</v>
      </c>
      <c r="D23" s="61">
        <f>Форма5!F51</f>
        <v>31309695</v>
      </c>
    </row>
    <row r="24" spans="1:4" ht="13.5" thickBot="1">
      <c r="A24" s="40"/>
      <c r="B24" s="152" t="s">
        <v>280</v>
      </c>
      <c r="C24" s="61">
        <f>Форма5!C50+Форма5!C52</f>
        <v>0</v>
      </c>
      <c r="D24" s="61">
        <f>Форма5!F50+Форма5!F52</f>
        <v>0</v>
      </c>
    </row>
    <row r="25" spans="1:4" ht="13.5" thickBot="1">
      <c r="A25" s="182" t="s">
        <v>281</v>
      </c>
      <c r="B25" s="184"/>
      <c r="C25" s="184"/>
      <c r="D25" s="185"/>
    </row>
    <row r="26" spans="1:4" ht="12.75">
      <c r="A26" s="55" t="s">
        <v>353</v>
      </c>
      <c r="B26" s="152" t="s">
        <v>282</v>
      </c>
      <c r="C26" s="61">
        <f>Форма2!D19</f>
        <v>113815229</v>
      </c>
      <c r="D26" s="61">
        <f>Форма2!C19</f>
        <v>21108586</v>
      </c>
    </row>
    <row r="27" spans="1:4" ht="12.75">
      <c r="A27" s="9" t="s">
        <v>354</v>
      </c>
      <c r="B27" s="152" t="s">
        <v>283</v>
      </c>
      <c r="C27" s="61">
        <f>Форма2!D19-Форма2!D20</f>
        <v>66139213</v>
      </c>
      <c r="D27" s="61">
        <f>Форма2!C19-Форма2!C20</f>
        <v>6740235</v>
      </c>
    </row>
    <row r="28" spans="1:4" ht="12.75">
      <c r="A28" s="10"/>
      <c r="B28" s="152" t="s">
        <v>284</v>
      </c>
      <c r="C28" s="61">
        <f>Форма2!D6</f>
        <v>904042928</v>
      </c>
      <c r="D28" s="61">
        <f>Форма2!C6</f>
        <v>712452287</v>
      </c>
    </row>
    <row r="29" spans="1:4" ht="12.75">
      <c r="A29" s="10"/>
      <c r="B29" s="152" t="s">
        <v>285</v>
      </c>
      <c r="C29" s="61">
        <f>C27/C12</f>
        <v>0.07957284705620245</v>
      </c>
      <c r="D29" s="61">
        <f>D27/D12</f>
        <v>0.009366712975850558</v>
      </c>
    </row>
    <row r="30" spans="1:4" ht="26.25">
      <c r="A30" s="10"/>
      <c r="B30" s="152" t="s">
        <v>286</v>
      </c>
      <c r="C30" s="61">
        <f>Форма2!D10/(Форма2!D7+Форма2!D8+Форма2!D9)</f>
        <v>0.16504131575147124</v>
      </c>
      <c r="D30" s="61">
        <f>Форма2!C10/(Форма2!C7+Форма2!C8+Форма2!C9)</f>
        <v>0.04855756089948898</v>
      </c>
    </row>
    <row r="31" spans="1:4" ht="12.75">
      <c r="A31" s="9" t="s">
        <v>355</v>
      </c>
      <c r="B31" s="152" t="s">
        <v>287</v>
      </c>
      <c r="C31" s="61"/>
      <c r="D31" s="61"/>
    </row>
    <row r="32" spans="1:4" ht="12.75">
      <c r="A32" s="9" t="s">
        <v>356</v>
      </c>
      <c r="B32" s="152" t="s">
        <v>288</v>
      </c>
      <c r="C32" s="61"/>
      <c r="D32" s="61"/>
    </row>
    <row r="33" spans="1:4" ht="26.25">
      <c r="A33" s="10"/>
      <c r="B33" s="152" t="s">
        <v>289</v>
      </c>
      <c r="C33" s="61"/>
      <c r="D33" s="61"/>
    </row>
    <row r="34" spans="1:4" ht="12.75">
      <c r="A34" s="10"/>
      <c r="B34" s="152" t="s">
        <v>290</v>
      </c>
      <c r="C34" s="61">
        <f>C28/C12</f>
        <v>1.0876644335333328</v>
      </c>
      <c r="D34" s="61">
        <f>D28/D12</f>
        <v>0.9900746904695914</v>
      </c>
    </row>
    <row r="35" spans="1:4" ht="27.75" customHeight="1">
      <c r="A35" s="10"/>
      <c r="B35" s="152" t="s">
        <v>291</v>
      </c>
      <c r="C35" s="61">
        <f>(360/(Форма2!D6/Форма1!C44))+(360/(Форма2!D7/(Форма1!C26+Форма1!C36)))</f>
        <v>156.36248379175368</v>
      </c>
      <c r="D35" s="61">
        <f>(360/(Форма2!C6/Форма1!D44))+(360/(Форма2!C7/(Форма1!D26+Форма1!D36)))</f>
        <v>200.45526244452222</v>
      </c>
    </row>
    <row r="36" spans="1:4" ht="26.25">
      <c r="A36" s="10"/>
      <c r="B36" s="152" t="s">
        <v>292</v>
      </c>
      <c r="C36" s="61">
        <f>C35-(Форма1!C97+Форма1!C101+Форма1!C102+Форма1!C107)/Форма2!D7</f>
        <v>156.05842719699623</v>
      </c>
      <c r="D36" s="61">
        <f>D35-(Форма1!D97+Форма1!D101+Форма1!D102+Форма1!D107)/Форма2!C7</f>
        <v>200.1861746227562</v>
      </c>
    </row>
    <row r="37" spans="1:4" ht="25.5" customHeight="1">
      <c r="A37" s="10"/>
      <c r="B37" s="152" t="s">
        <v>293</v>
      </c>
      <c r="C37" s="61">
        <f>Форма1!C44/Форма2!D6</f>
        <v>0.09787215768143258</v>
      </c>
      <c r="D37" s="61">
        <f>Форма1!D44/Форма2!C6</f>
        <v>0.158688011903315</v>
      </c>
    </row>
    <row r="38" spans="1:4" ht="26.25">
      <c r="A38" s="9" t="s">
        <v>357</v>
      </c>
      <c r="B38" s="152" t="s">
        <v>294</v>
      </c>
      <c r="C38" s="61">
        <f>(Форма2!D19-Форма2!D20)/(Форма1!C70-Форма1!C69-Форма1!C55-Форма1!C49)</f>
        <v>0.07957284705620245</v>
      </c>
      <c r="D38" s="61">
        <f>(Форма2!C19-Форма2!C20)/(Форма1!D70-Форма1!D69-Форма1!D55-Форма1!D49)</f>
        <v>0.009366712975850558</v>
      </c>
    </row>
    <row r="39" spans="1:4" ht="14.25" customHeight="1">
      <c r="A39" s="9" t="s">
        <v>358</v>
      </c>
      <c r="B39" s="152" t="s">
        <v>296</v>
      </c>
      <c r="C39" s="61">
        <f>(Форма2!D19-Форма2!D20)/(Форма1!C86-Форма1!C69-Форма1!C55-Форма1!C49)</f>
        <v>0.14149447476648455</v>
      </c>
      <c r="D39" s="61">
        <f>(Форма2!C19-Форма2!C20)/(Форма1!D86-Форма1!D69-Форма1!D55-Форма1!D49)</f>
        <v>0.019751871516152517</v>
      </c>
    </row>
    <row r="40" spans="1:4" ht="13.5" thickBot="1">
      <c r="A40" s="54" t="s">
        <v>295</v>
      </c>
      <c r="B40" s="62"/>
      <c r="C40" s="61"/>
      <c r="D40" s="61"/>
    </row>
  </sheetData>
  <mergeCells count="4">
    <mergeCell ref="A1:C1"/>
    <mergeCell ref="A8:B8"/>
    <mergeCell ref="A25:D25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ТРИОЛИТ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мерзон</dc:creator>
  <cp:keywords/>
  <dc:description/>
  <cp:lastModifiedBy>Артюшичев Сергей</cp:lastModifiedBy>
  <cp:lastPrinted>1999-10-16T11:34:10Z</cp:lastPrinted>
  <dcterms:created xsi:type="dcterms:W3CDTF">1998-12-08T13:11:37Z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