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01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  <sheet name="планування" sheetId="9" r:id="rId9"/>
  </sheets>
  <definedNames/>
  <calcPr fullCalcOnLoad="1"/>
</workbook>
</file>

<file path=xl/sharedStrings.xml><?xml version="1.0" encoding="utf-8"?>
<sst xmlns="http://schemas.openxmlformats.org/spreadsheetml/2006/main" count="203" uniqueCount="181">
  <si>
    <t>Імпорт</t>
  </si>
  <si>
    <t>товарів ТОВ "Глобус Лтд"</t>
  </si>
  <si>
    <t>Постачальник</t>
  </si>
  <si>
    <t>№, дата контракту</t>
  </si>
  <si>
    <t>вид товару</t>
  </si>
  <si>
    <t>ВМД</t>
  </si>
  <si>
    <t>вартість в грн.</t>
  </si>
  <si>
    <t>№ п/п</t>
  </si>
  <si>
    <t>вартість в ДМ</t>
  </si>
  <si>
    <t>Dr.R.JUNGHANS</t>
  </si>
  <si>
    <t>Фірма "АDM"</t>
  </si>
  <si>
    <t>005045</t>
  </si>
  <si>
    <t>дитячого призначення    (санітарії,гігієни)</t>
  </si>
  <si>
    <t>Дата ввезення</t>
  </si>
  <si>
    <t>за період з 01.01.97 по 01.01.98</t>
  </si>
  <si>
    <t>б/н від 25.05.1996р</t>
  </si>
  <si>
    <t>№1 від 1.08.1996р</t>
  </si>
  <si>
    <t>всего товаров ввезли</t>
  </si>
  <si>
    <t>всего товаров продали</t>
  </si>
  <si>
    <t>на начало</t>
  </si>
  <si>
    <t>остатки на конец</t>
  </si>
  <si>
    <t>прочие выбытия</t>
  </si>
  <si>
    <t>Реализация</t>
  </si>
  <si>
    <t>доход</t>
  </si>
  <si>
    <t>надходження</t>
  </si>
  <si>
    <t>вибуття</t>
  </si>
  <si>
    <t>квартал</t>
  </si>
  <si>
    <t>залишок на початок року</t>
  </si>
  <si>
    <t>залишок на кінець року</t>
  </si>
  <si>
    <t>Ланцюговий коєфіціент</t>
  </si>
  <si>
    <t>ТЗ середні</t>
  </si>
  <si>
    <t>середні запаси</t>
  </si>
  <si>
    <t>однодений т/о</t>
  </si>
  <si>
    <t>швидкість в дн</t>
  </si>
  <si>
    <t>швидкість в разах</t>
  </si>
  <si>
    <t>коеф росту тз</t>
  </si>
  <si>
    <t>Товари для немовлят</t>
  </si>
  <si>
    <t>Товари для матерів, що годують</t>
  </si>
  <si>
    <t>Інше</t>
  </si>
  <si>
    <t>Найменування</t>
  </si>
  <si>
    <t>Наджод-ження 1997</t>
  </si>
  <si>
    <t>Товари для дітей понад 2 роки</t>
  </si>
  <si>
    <t>Товари для дітей від 6 міс до 2 років</t>
  </si>
  <si>
    <t>x</t>
  </si>
  <si>
    <t>y</t>
  </si>
  <si>
    <t>x^2</t>
  </si>
  <si>
    <t>xy</t>
  </si>
  <si>
    <t>sum</t>
  </si>
  <si>
    <t>Y</t>
  </si>
  <si>
    <t>Товарооборот</t>
  </si>
  <si>
    <t>ТЗ</t>
  </si>
  <si>
    <t>Рівняння прямой лінії регресії</t>
  </si>
  <si>
    <t>коефіціент регресії</t>
  </si>
  <si>
    <t>вілний член</t>
  </si>
  <si>
    <t>відхилення у %</t>
  </si>
  <si>
    <t>доля в загальному обсязі, %</t>
  </si>
  <si>
    <t>доля в загальному обсязі,%</t>
  </si>
  <si>
    <t>Розрахунок залежності між середніми товарними запасами та товарооборотом.</t>
  </si>
  <si>
    <t>p =</t>
  </si>
  <si>
    <t>b =</t>
  </si>
  <si>
    <t>Y = p x + b</t>
  </si>
  <si>
    <t>Y - y</t>
  </si>
  <si>
    <t>пдв</t>
  </si>
  <si>
    <t>бал прибуток</t>
  </si>
  <si>
    <t xml:space="preserve">чистий </t>
  </si>
  <si>
    <t>рівень рентабельності</t>
  </si>
  <si>
    <t>V тз на 1 т/о</t>
  </si>
  <si>
    <t>середній т/о</t>
  </si>
  <si>
    <t>складські витрати</t>
  </si>
  <si>
    <t>транспотні витрати</t>
  </si>
  <si>
    <t>екстраполяція по 4 кв</t>
  </si>
  <si>
    <t>Темп прирісту%</t>
  </si>
  <si>
    <t>прогноз</t>
  </si>
  <si>
    <t>т/о</t>
  </si>
  <si>
    <t>рівень тз/то</t>
  </si>
  <si>
    <t>рівняння регресії</t>
  </si>
  <si>
    <t>ек-мат</t>
  </si>
  <si>
    <t>оптимальна час завозу</t>
  </si>
  <si>
    <t>h</t>
  </si>
  <si>
    <t>среднеквадр отклон</t>
  </si>
  <si>
    <t>страх запас</t>
  </si>
  <si>
    <t>тз на конец</t>
  </si>
  <si>
    <t>оборот з 1 кв</t>
  </si>
  <si>
    <t>загальний обсяг</t>
  </si>
  <si>
    <t>коеф еластичності</t>
  </si>
  <si>
    <t>средн</t>
  </si>
  <si>
    <t>ТЗ прогноз</t>
  </si>
  <si>
    <t>грн</t>
  </si>
  <si>
    <t>дн</t>
  </si>
  <si>
    <t>однод т/о</t>
  </si>
  <si>
    <t>днів</t>
  </si>
  <si>
    <t>розрахунок ТЗ</t>
  </si>
  <si>
    <t>еласт</t>
  </si>
  <si>
    <t>експерт</t>
  </si>
  <si>
    <t>регрес</t>
  </si>
  <si>
    <t>естрапол</t>
  </si>
  <si>
    <t>ранг</t>
  </si>
  <si>
    <t>%</t>
  </si>
  <si>
    <t xml:space="preserve">Структура товарних запасів ТОВ "Глобус Лтд", 1997р. </t>
  </si>
  <si>
    <t xml:space="preserve">Планова структура товарних запасів ТОВ "Глобус Лтд", 1-й квартал 1998р. </t>
  </si>
  <si>
    <t>на кінець 1997 р.</t>
  </si>
  <si>
    <t>на початок 1997р.</t>
  </si>
  <si>
    <t>на кінець 1997р</t>
  </si>
  <si>
    <t>середні ТЗ за 1-й квартал 1998р.</t>
  </si>
  <si>
    <t>рентабельность</t>
  </si>
  <si>
    <t>ТЗ на кінець періода</t>
  </si>
  <si>
    <t xml:space="preserve">                                        Схема                                                        </t>
  </si>
  <si>
    <t>грошових та товарних потоків</t>
  </si>
  <si>
    <t>ТОВ "Глобус Лтд" за період з 01.01.97 по 01.01.98</t>
  </si>
  <si>
    <t>Імпорт товарів</t>
  </si>
  <si>
    <t>ТОВ "Глобус Лтд"</t>
  </si>
  <si>
    <t>Реалізація товарів</t>
  </si>
  <si>
    <t>АТ "Московський універмаг"</t>
  </si>
  <si>
    <t>АТ "Невід"</t>
  </si>
  <si>
    <t>Адоніс-Фарм</t>
  </si>
  <si>
    <t>Аптека МВД</t>
  </si>
  <si>
    <t>Аптека БХФЗ</t>
  </si>
  <si>
    <t>Аптека №37</t>
  </si>
  <si>
    <t>ТОВ "Даллас Систем"</t>
  </si>
  <si>
    <t>ВАТ "Універмаг Спектр"</t>
  </si>
  <si>
    <t>ГКПП "Фармацея"</t>
  </si>
  <si>
    <t>ЗАТ "Печерський торговий центр"</t>
  </si>
  <si>
    <t>Госко Лтд</t>
  </si>
  <si>
    <t>ДП "Анна"</t>
  </si>
  <si>
    <t>ЗАТ "Каштан"</t>
  </si>
  <si>
    <t>Гермес-К</t>
  </si>
  <si>
    <t>Аптека СБУ</t>
  </si>
  <si>
    <t>Управление УМТО НАН України</t>
  </si>
  <si>
    <t>СП "Тортран"</t>
  </si>
  <si>
    <t>ТОВ "УМС"</t>
  </si>
  <si>
    <t>Чернигов аптека №206</t>
  </si>
  <si>
    <t>ЗАТ "Шевченківський універмаг"</t>
  </si>
  <si>
    <t>ЗАТ магазин "Облік"</t>
  </si>
  <si>
    <t>КП Аптека №51</t>
  </si>
  <si>
    <t>КФ "Сопо"</t>
  </si>
  <si>
    <t>МЧП ДСГ</t>
  </si>
  <si>
    <t>МК "Медікус"</t>
  </si>
  <si>
    <t>ВАТ "Київський ЦУМ"</t>
  </si>
  <si>
    <t xml:space="preserve">ВАТ "Магазин "Киянка" </t>
  </si>
  <si>
    <t>Валедус</t>
  </si>
  <si>
    <t>ВАТ Київ Универсам "Беличи"</t>
  </si>
  <si>
    <t>ТОВ "Ф.К. Импекс"</t>
  </si>
  <si>
    <t>ТОВ "Аконит"</t>
  </si>
  <si>
    <t>ТОВ "Аполло"</t>
  </si>
  <si>
    <t>ТОВ "Биотек"</t>
  </si>
  <si>
    <t>СП "Интрейд"</t>
  </si>
  <si>
    <t>СП "Промаркетсервис Лтд"</t>
  </si>
  <si>
    <t>Салон Новонароджених</t>
  </si>
  <si>
    <t>Товариство "Миранда"</t>
  </si>
  <si>
    <t>Чернигов аптека №25</t>
  </si>
  <si>
    <t>ТОВ "Випекс ФАРМ"</t>
  </si>
  <si>
    <t>ВВС Плюс</t>
  </si>
  <si>
    <t>ТОВ "ЗЕТ"</t>
  </si>
  <si>
    <t>ТОВ "Казино"</t>
  </si>
  <si>
    <t>ТОВ "Литум Фарм"</t>
  </si>
  <si>
    <t>ТОВ "Литум Лтд"</t>
  </si>
  <si>
    <t>ТОВ "Медикал Комерс"</t>
  </si>
  <si>
    <t>Прилуки ЗАТ Аптека №66</t>
  </si>
  <si>
    <t>ТОВ "Сантолина"</t>
  </si>
  <si>
    <t>ВАТ "Київоблфармацея"</t>
  </si>
  <si>
    <t>ТОВ ТД "Зимний сад"</t>
  </si>
  <si>
    <t>Оптима ФАРМ</t>
  </si>
  <si>
    <t>ПИИ "Риф"</t>
  </si>
  <si>
    <t>ТОВ "Панацея"</t>
  </si>
  <si>
    <t>СП "Поли Трейд"</t>
  </si>
  <si>
    <t>УАРТП "Шанс Драгстор"</t>
  </si>
  <si>
    <t>ТОВ "Вента"</t>
  </si>
  <si>
    <t>Фармалайф</t>
  </si>
  <si>
    <t>Чернигов аптека "Бояр"</t>
  </si>
  <si>
    <t>Ланцю-говий коефіцієнт</t>
  </si>
  <si>
    <t>Надход-ження</t>
  </si>
  <si>
    <t>Квартал</t>
  </si>
  <si>
    <t>середнє значення</t>
  </si>
  <si>
    <t xml:space="preserve">Всього:   </t>
  </si>
  <si>
    <t>рентабельність транспортних  витрат</t>
  </si>
  <si>
    <t>рентабельність складських витрат</t>
  </si>
  <si>
    <t>метод експертної оцінки</t>
  </si>
  <si>
    <t>Додаток 1</t>
  </si>
  <si>
    <t>Додаток 3</t>
  </si>
  <si>
    <t>Додаток 4</t>
  </si>
  <si>
    <t>Додаток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</si>
</sst>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</numFmts>
  <fonts count="19">
    <font>
      <sz val="10"/>
      <name val="Arial Cyr"/>
      <family val="0"/>
    </font>
    <font>
      <sz val="18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color indexed="10"/>
      <name val="Times New Roman Cyr"/>
      <family val="1"/>
    </font>
    <font>
      <sz val="16"/>
      <color indexed="10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.75"/>
      <name val="Arial Cyr"/>
      <family val="0"/>
    </font>
    <font>
      <sz val="14"/>
      <color indexed="9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2"/>
    </font>
    <font>
      <sz val="20"/>
      <name val="Times New Roman Cyr"/>
      <family val="1"/>
    </font>
    <font>
      <b/>
      <sz val="14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sz val="10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left" vertical="center"/>
    </xf>
    <xf numFmtId="171" fontId="6" fillId="0" borderId="11" xfId="0" applyNumberFormat="1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/>
    </xf>
    <xf numFmtId="2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7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1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164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18" fillId="0" borderId="4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171" fontId="18" fillId="0" borderId="24" xfId="0" applyNumberFormat="1" applyFont="1" applyBorder="1" applyAlignment="1">
      <alignment/>
    </xf>
    <xf numFmtId="2" fontId="18" fillId="2" borderId="10" xfId="0" applyNumberFormat="1" applyFont="1" applyFill="1" applyBorder="1" applyAlignment="1">
      <alignment/>
    </xf>
    <xf numFmtId="171" fontId="18" fillId="0" borderId="0" xfId="0" applyNumberFormat="1" applyFont="1" applyBorder="1" applyAlignment="1">
      <alignment/>
    </xf>
    <xf numFmtId="1" fontId="18" fillId="2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1" xfId="0" applyFont="1" applyBorder="1" applyAlignment="1">
      <alignment/>
    </xf>
    <xf numFmtId="171" fontId="18" fillId="0" borderId="11" xfId="0" applyNumberFormat="1" applyFont="1" applyBorder="1" applyAlignment="1">
      <alignment/>
    </xf>
    <xf numFmtId="164" fontId="18" fillId="0" borderId="3" xfId="0" applyNumberFormat="1" applyFont="1" applyBorder="1" applyAlignment="1">
      <alignment/>
    </xf>
    <xf numFmtId="0" fontId="18" fillId="3" borderId="0" xfId="0" applyFont="1" applyFill="1" applyAlignment="1">
      <alignment/>
    </xf>
    <xf numFmtId="1" fontId="1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Динаміка товарообороту та товарних запасів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1"/>
          <c:order val="0"/>
          <c:tx>
            <c:v>ТЗ середні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'додаток 3'!$G$5:$G$8</c:f>
              <c:numCache>
                <c:ptCount val="4"/>
                <c:pt idx="0">
                  <c:v>17484.9067</c:v>
                </c:pt>
                <c:pt idx="1">
                  <c:v>20669.422700000003</c:v>
                </c:pt>
                <c:pt idx="2">
                  <c:v>22614.479550000004</c:v>
                </c:pt>
                <c:pt idx="3">
                  <c:v>37299.973549999995</c:v>
                </c:pt>
              </c:numCache>
            </c:numRef>
          </c:val>
          <c:shape val="box"/>
        </c:ser>
        <c:ser>
          <c:idx val="2"/>
          <c:order val="1"/>
          <c:tx>
            <c:v>Вибуття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'додаток 3'!$E$5:$E$8</c:f>
              <c:numCache>
                <c:ptCount val="4"/>
                <c:pt idx="0">
                  <c:v>24271.8966</c:v>
                </c:pt>
                <c:pt idx="1">
                  <c:v>29665.6514</c:v>
                </c:pt>
                <c:pt idx="2">
                  <c:v>36407.844900000004</c:v>
                </c:pt>
                <c:pt idx="3">
                  <c:v>49647.6871</c:v>
                </c:pt>
              </c:numCache>
            </c:numRef>
          </c:val>
          <c:shape val="box"/>
        </c:ser>
        <c:shape val="box"/>
        <c:axId val="30176146"/>
        <c:axId val="14378723"/>
        <c:axId val="33370908"/>
      </c:bar3DChart>
      <c:catAx>
        <c:axId val="30176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Квартал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378723"/>
        <c:crosses val="autoZero"/>
        <c:auto val="1"/>
        <c:lblOffset val="100"/>
        <c:noMultiLvlLbl val="0"/>
      </c:catAx>
      <c:valAx>
        <c:axId val="14378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Обяг, грн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6146"/>
        <c:crossesAt val="1"/>
        <c:crossBetween val="between"/>
        <c:dispUnits/>
      </c:valAx>
      <c:serAx>
        <c:axId val="33370908"/>
        <c:scaling>
          <c:orientation val="minMax"/>
        </c:scaling>
        <c:axPos val="b"/>
        <c:delete val="1"/>
        <c:majorTickMark val="out"/>
        <c:minorTickMark val="none"/>
        <c:tickLblPos val="low"/>
        <c:crossAx val="143787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Структура наджоджень, 1997р.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24825"/>
          <c:w val="0.7345"/>
          <c:h val="0.52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'додаток 4'!$B$5:$B$9</c:f>
              <c:strCache>
                <c:ptCount val="5"/>
                <c:pt idx="0">
                  <c:v>Товари для немовлят</c:v>
                </c:pt>
                <c:pt idx="1">
                  <c:v>Товари для дітей від 6 міс до 2 років</c:v>
                </c:pt>
                <c:pt idx="2">
                  <c:v>Товари для дітей понад 2 роки</c:v>
                </c:pt>
                <c:pt idx="3">
                  <c:v>Товари для матерів, що годують</c:v>
                </c:pt>
                <c:pt idx="4">
                  <c:v>Інше</c:v>
                </c:pt>
              </c:strCache>
            </c:strRef>
          </c:cat>
          <c:val>
            <c:numRef>
              <c:f>'додаток 4'!$E$5:$E$9</c:f>
              <c:numCache>
                <c:ptCount val="5"/>
                <c:pt idx="0">
                  <c:v>40418.613000000005</c:v>
                </c:pt>
                <c:pt idx="1">
                  <c:v>56234.592000000004</c:v>
                </c:pt>
                <c:pt idx="2">
                  <c:v>26359.965</c:v>
                </c:pt>
                <c:pt idx="3">
                  <c:v>31631.958000000002</c:v>
                </c:pt>
                <c:pt idx="4">
                  <c:v>21087.972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86625"/>
          <c:w val="0.896"/>
          <c:h val="0.12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 Залежність між середніми товарними запасами та товарооборотом.</a:t>
            </a:r>
          </a:p>
        </c:rich>
      </c:tx>
      <c:layout>
        <c:manualLayout>
          <c:xMode val="factor"/>
          <c:yMode val="factor"/>
          <c:x val="0.003"/>
          <c:y val="0.0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165"/>
          <c:w val="0.95325"/>
          <c:h val="0.6765"/>
        </c:manualLayout>
      </c:layout>
      <c:scatterChart>
        <c:scatterStyle val="smooth"/>
        <c:varyColors val="0"/>
        <c:ser>
          <c:idx val="0"/>
          <c:order val="0"/>
          <c:tx>
            <c:v>Y=0,78x-2748,62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'додаток 6'!$A$18:$A$21</c:f>
              <c:numCache>
                <c:ptCount val="4"/>
                <c:pt idx="0">
                  <c:v>24271.8966</c:v>
                </c:pt>
                <c:pt idx="1">
                  <c:v>29665.6514</c:v>
                </c:pt>
                <c:pt idx="2">
                  <c:v>36407.844900000004</c:v>
                </c:pt>
                <c:pt idx="3">
                  <c:v>49647.6871</c:v>
                </c:pt>
              </c:numCache>
            </c:numRef>
          </c:xVal>
          <c:yVal>
            <c:numRef>
              <c:f>'додаток 6'!$B$18:$B$21</c:f>
              <c:numCache>
                <c:ptCount val="4"/>
                <c:pt idx="0">
                  <c:v>16160.68730578068</c:v>
                </c:pt>
                <c:pt idx="1">
                  <c:v>20362.755905968417</c:v>
                </c:pt>
                <c:pt idx="2">
                  <c:v>25615.341656203094</c:v>
                </c:pt>
                <c:pt idx="3">
                  <c:v>35929.99763204771</c:v>
                </c:pt>
              </c:numCache>
            </c:numRef>
          </c:yVal>
          <c:smooth val="1"/>
        </c:ser>
        <c:ser>
          <c:idx val="1"/>
          <c:order val="1"/>
          <c:tx>
            <c:v>факт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'додаток 6'!$A$18:$A$21</c:f>
              <c:numCache>
                <c:ptCount val="4"/>
                <c:pt idx="0">
                  <c:v>24271.8966</c:v>
                </c:pt>
                <c:pt idx="1">
                  <c:v>29665.6514</c:v>
                </c:pt>
                <c:pt idx="2">
                  <c:v>36407.844900000004</c:v>
                </c:pt>
                <c:pt idx="3">
                  <c:v>49647.6871</c:v>
                </c:pt>
              </c:numCache>
            </c:numRef>
          </c:xVal>
          <c:yVal>
            <c:numRef>
              <c:f>'додаток 6'!$C$30:$C$33</c:f>
              <c:numCache>
                <c:ptCount val="4"/>
                <c:pt idx="0">
                  <c:v>17484.9067</c:v>
                </c:pt>
                <c:pt idx="1">
                  <c:v>20669.422700000003</c:v>
                </c:pt>
                <c:pt idx="2">
                  <c:v>22614.479550000004</c:v>
                </c:pt>
                <c:pt idx="3">
                  <c:v>37299.973549999995</c:v>
                </c:pt>
              </c:numCache>
            </c:numRef>
          </c:yVal>
          <c:smooth val="1"/>
        </c:ser>
        <c:axId val="14284413"/>
        <c:axId val="23468358"/>
      </c:scatterChart>
      <c:valAx>
        <c:axId val="1428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Товарооборот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68358"/>
        <c:crosses val="autoZero"/>
        <c:crossBetween val="midCat"/>
        <c:dispUnits/>
      </c:valAx>
      <c:valAx>
        <c:axId val="2346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Товарні запаси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84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9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" verticalDpi="120" orientation="landscape" paperSize="9"/>
  <headerFooter>
    <oddHeader>&amp;R&amp;14Додаток 2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" verticalDpi="120" orientation="landscape" paperSize="9"/>
  <headerFooter>
    <oddHeader>&amp;R&amp;14Додаток 5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" verticalDpi="120" orientation="landscape" paperSize="9"/>
  <headerFooter>
    <oddHeader>&amp;R&amp;14Додаток 7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0</xdr:rowOff>
    </xdr:from>
    <xdr:to>
      <xdr:col>12</xdr:col>
      <xdr:colOff>123825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190625" y="1076325"/>
          <a:ext cx="2124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152400</xdr:colOff>
      <xdr:row>8</xdr:row>
      <xdr:rowOff>0</xdr:rowOff>
    </xdr:from>
    <xdr:to>
      <xdr:col>19</xdr:col>
      <xdr:colOff>152400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5324475" y="1485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37</xdr:col>
      <xdr:colOff>180975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0025" y="20669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12</xdr:row>
      <xdr:rowOff>95250</xdr:rowOff>
    </xdr:from>
    <xdr:to>
      <xdr:col>37</xdr:col>
      <xdr:colOff>180975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0153650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104775</xdr:rowOff>
    </xdr:from>
    <xdr:to>
      <xdr:col>0</xdr:col>
      <xdr:colOff>200025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>
          <a:off x="200025" y="2076450"/>
          <a:ext cx="0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295275</xdr:colOff>
      <xdr:row>12</xdr:row>
      <xdr:rowOff>0</xdr:rowOff>
    </xdr:from>
    <xdr:to>
      <xdr:col>19</xdr:col>
      <xdr:colOff>295275</xdr:colOff>
      <xdr:row>12</xdr:row>
      <xdr:rowOff>95250</xdr:rowOff>
    </xdr:to>
    <xdr:sp>
      <xdr:nvSpPr>
        <xdr:cNvPr id="6" name="Line 6"/>
        <xdr:cNvSpPr>
          <a:spLocks/>
        </xdr:cNvSpPr>
      </xdr:nvSpPr>
      <xdr:spPr>
        <a:xfrm>
          <a:off x="5467350" y="1971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66675</xdr:rowOff>
    </xdr:from>
    <xdr:to>
      <xdr:col>37</xdr:col>
      <xdr:colOff>180975</xdr:colOff>
      <xdr:row>16</xdr:row>
      <xdr:rowOff>66675</xdr:rowOff>
    </xdr:to>
    <xdr:sp>
      <xdr:nvSpPr>
        <xdr:cNvPr id="7" name="Line 7"/>
        <xdr:cNvSpPr>
          <a:spLocks/>
        </xdr:cNvSpPr>
      </xdr:nvSpPr>
      <xdr:spPr>
        <a:xfrm>
          <a:off x="209550" y="535305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57150</xdr:rowOff>
    </xdr:from>
    <xdr:to>
      <xdr:col>37</xdr:col>
      <xdr:colOff>180975</xdr:colOff>
      <xdr:row>14</xdr:row>
      <xdr:rowOff>57150</xdr:rowOff>
    </xdr:to>
    <xdr:sp>
      <xdr:nvSpPr>
        <xdr:cNvPr id="8" name="Line 8"/>
        <xdr:cNvSpPr>
          <a:spLocks/>
        </xdr:cNvSpPr>
      </xdr:nvSpPr>
      <xdr:spPr>
        <a:xfrm>
          <a:off x="200025" y="36766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200025</xdr:colOff>
      <xdr:row>14</xdr:row>
      <xdr:rowOff>57150</xdr:rowOff>
    </xdr:from>
    <xdr:to>
      <xdr:col>37</xdr:col>
      <xdr:colOff>200025</xdr:colOff>
      <xdr:row>15</xdr:row>
      <xdr:rowOff>9525</xdr:rowOff>
    </xdr:to>
    <xdr:sp>
      <xdr:nvSpPr>
        <xdr:cNvPr id="9" name="Line 9"/>
        <xdr:cNvSpPr>
          <a:spLocks/>
        </xdr:cNvSpPr>
      </xdr:nvSpPr>
      <xdr:spPr>
        <a:xfrm>
          <a:off x="10172700" y="3676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16</xdr:row>
      <xdr:rowOff>66675</xdr:rowOff>
    </xdr:from>
    <xdr:to>
      <xdr:col>37</xdr:col>
      <xdr:colOff>180975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1015365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16</xdr:row>
      <xdr:rowOff>76200</xdr:rowOff>
    </xdr:from>
    <xdr:to>
      <xdr:col>1</xdr:col>
      <xdr:colOff>257175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685800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66675</xdr:rowOff>
    </xdr:from>
    <xdr:to>
      <xdr:col>3</xdr:col>
      <xdr:colOff>161925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20015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66675</xdr:rowOff>
    </xdr:from>
    <xdr:to>
      <xdr:col>5</xdr:col>
      <xdr:colOff>171450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57350" y="53530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76200</xdr:rowOff>
    </xdr:from>
    <xdr:to>
      <xdr:col>7</xdr:col>
      <xdr:colOff>161925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2105025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76200</xdr:rowOff>
    </xdr:from>
    <xdr:to>
      <xdr:col>9</xdr:col>
      <xdr:colOff>171450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2571750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16</xdr:row>
      <xdr:rowOff>66675</xdr:rowOff>
    </xdr:from>
    <xdr:to>
      <xdr:col>11</xdr:col>
      <xdr:colOff>171450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302895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276225</xdr:colOff>
      <xdr:row>16</xdr:row>
      <xdr:rowOff>66675</xdr:rowOff>
    </xdr:from>
    <xdr:to>
      <xdr:col>13</xdr:col>
      <xdr:colOff>276225</xdr:colOff>
      <xdr:row>17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3600450" y="53530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295275</xdr:colOff>
      <xdr:row>16</xdr:row>
      <xdr:rowOff>66675</xdr:rowOff>
    </xdr:from>
    <xdr:to>
      <xdr:col>15</xdr:col>
      <xdr:colOff>295275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>
          <a:off x="428625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171450</xdr:colOff>
      <xdr:row>16</xdr:row>
      <xdr:rowOff>76200</xdr:rowOff>
    </xdr:from>
    <xdr:to>
      <xdr:col>17</xdr:col>
      <xdr:colOff>171450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4848225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276225</xdr:colOff>
      <xdr:row>16</xdr:row>
      <xdr:rowOff>76200</xdr:rowOff>
    </xdr:from>
    <xdr:to>
      <xdr:col>19</xdr:col>
      <xdr:colOff>276225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5448300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200025</xdr:colOff>
      <xdr:row>16</xdr:row>
      <xdr:rowOff>66675</xdr:rowOff>
    </xdr:from>
    <xdr:to>
      <xdr:col>21</xdr:col>
      <xdr:colOff>200025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6010275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16</xdr:row>
      <xdr:rowOff>66675</xdr:rowOff>
    </xdr:from>
    <xdr:to>
      <xdr:col>23</xdr:col>
      <xdr:colOff>180975</xdr:colOff>
      <xdr:row>17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6486525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171450</xdr:colOff>
      <xdr:row>16</xdr:row>
      <xdr:rowOff>66675</xdr:rowOff>
    </xdr:from>
    <xdr:to>
      <xdr:col>25</xdr:col>
      <xdr:colOff>171450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6962775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16</xdr:row>
      <xdr:rowOff>66675</xdr:rowOff>
    </xdr:from>
    <xdr:to>
      <xdr:col>27</xdr:col>
      <xdr:colOff>200025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>
          <a:off x="748665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161925</xdr:colOff>
      <xdr:row>16</xdr:row>
      <xdr:rowOff>66675</xdr:rowOff>
    </xdr:from>
    <xdr:to>
      <xdr:col>29</xdr:col>
      <xdr:colOff>161925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796290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16</xdr:row>
      <xdr:rowOff>66675</xdr:rowOff>
    </xdr:from>
    <xdr:to>
      <xdr:col>31</xdr:col>
      <xdr:colOff>228600</xdr:colOff>
      <xdr:row>17</xdr:row>
      <xdr:rowOff>0</xdr:rowOff>
    </xdr:to>
    <xdr:sp>
      <xdr:nvSpPr>
        <xdr:cNvPr id="26" name="Line 26"/>
        <xdr:cNvSpPr>
          <a:spLocks/>
        </xdr:cNvSpPr>
      </xdr:nvSpPr>
      <xdr:spPr>
        <a:xfrm>
          <a:off x="8524875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171450</xdr:colOff>
      <xdr:row>16</xdr:row>
      <xdr:rowOff>66675</xdr:rowOff>
    </xdr:from>
    <xdr:to>
      <xdr:col>33</xdr:col>
      <xdr:colOff>171450</xdr:colOff>
      <xdr:row>17</xdr:row>
      <xdr:rowOff>0</xdr:rowOff>
    </xdr:to>
    <xdr:sp>
      <xdr:nvSpPr>
        <xdr:cNvPr id="27" name="Line 27"/>
        <xdr:cNvSpPr>
          <a:spLocks/>
        </xdr:cNvSpPr>
      </xdr:nvSpPr>
      <xdr:spPr>
        <a:xfrm>
          <a:off x="9067800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171450</xdr:colOff>
      <xdr:row>16</xdr:row>
      <xdr:rowOff>76200</xdr:rowOff>
    </xdr:from>
    <xdr:to>
      <xdr:col>35</xdr:col>
      <xdr:colOff>171450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9601200" y="5362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171450</xdr:colOff>
      <xdr:row>14</xdr:row>
      <xdr:rowOff>57150</xdr:rowOff>
    </xdr:from>
    <xdr:to>
      <xdr:col>35</xdr:col>
      <xdr:colOff>171450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960120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14</xdr:row>
      <xdr:rowOff>57150</xdr:rowOff>
    </xdr:from>
    <xdr:to>
      <xdr:col>33</xdr:col>
      <xdr:colOff>180975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907732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238125</xdr:colOff>
      <xdr:row>14</xdr:row>
      <xdr:rowOff>57150</xdr:rowOff>
    </xdr:from>
    <xdr:to>
      <xdr:col>31</xdr:col>
      <xdr:colOff>238125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853440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14</xdr:row>
      <xdr:rowOff>57150</xdr:rowOff>
    </xdr:from>
    <xdr:to>
      <xdr:col>29</xdr:col>
      <xdr:colOff>171450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797242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14</xdr:row>
      <xdr:rowOff>57150</xdr:rowOff>
    </xdr:from>
    <xdr:to>
      <xdr:col>27</xdr:col>
      <xdr:colOff>200025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748665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171450</xdr:colOff>
      <xdr:row>14</xdr:row>
      <xdr:rowOff>57150</xdr:rowOff>
    </xdr:from>
    <xdr:to>
      <xdr:col>25</xdr:col>
      <xdr:colOff>171450</xdr:colOff>
      <xdr:row>15</xdr:row>
      <xdr:rowOff>9525</xdr:rowOff>
    </xdr:to>
    <xdr:sp>
      <xdr:nvSpPr>
        <xdr:cNvPr id="34" name="Line 34"/>
        <xdr:cNvSpPr>
          <a:spLocks/>
        </xdr:cNvSpPr>
      </xdr:nvSpPr>
      <xdr:spPr>
        <a:xfrm>
          <a:off x="6962775" y="3676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190500</xdr:colOff>
      <xdr:row>14</xdr:row>
      <xdr:rowOff>57150</xdr:rowOff>
    </xdr:from>
    <xdr:to>
      <xdr:col>23</xdr:col>
      <xdr:colOff>190500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649605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12</xdr:row>
      <xdr:rowOff>104775</xdr:rowOff>
    </xdr:from>
    <xdr:to>
      <xdr:col>1</xdr:col>
      <xdr:colOff>257175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>
          <a:off x="685800" y="2076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95250</xdr:rowOff>
    </xdr:from>
    <xdr:to>
      <xdr:col>3</xdr:col>
      <xdr:colOff>161925</xdr:colOff>
      <xdr:row>13</xdr:row>
      <xdr:rowOff>0</xdr:rowOff>
    </xdr:to>
    <xdr:sp>
      <xdr:nvSpPr>
        <xdr:cNvPr id="37" name="Line 37"/>
        <xdr:cNvSpPr>
          <a:spLocks/>
        </xdr:cNvSpPr>
      </xdr:nvSpPr>
      <xdr:spPr>
        <a:xfrm>
          <a:off x="1200150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12</xdr:row>
      <xdr:rowOff>95250</xdr:rowOff>
    </xdr:from>
    <xdr:to>
      <xdr:col>5</xdr:col>
      <xdr:colOff>161925</xdr:colOff>
      <xdr:row>13</xdr:row>
      <xdr:rowOff>0</xdr:rowOff>
    </xdr:to>
    <xdr:sp>
      <xdr:nvSpPr>
        <xdr:cNvPr id="38" name="Line 38"/>
        <xdr:cNvSpPr>
          <a:spLocks/>
        </xdr:cNvSpPr>
      </xdr:nvSpPr>
      <xdr:spPr>
        <a:xfrm>
          <a:off x="1647825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104775</xdr:rowOff>
    </xdr:from>
    <xdr:to>
      <xdr:col>7</xdr:col>
      <xdr:colOff>161925</xdr:colOff>
      <xdr:row>13</xdr:row>
      <xdr:rowOff>0</xdr:rowOff>
    </xdr:to>
    <xdr:sp>
      <xdr:nvSpPr>
        <xdr:cNvPr id="39" name="Line 39"/>
        <xdr:cNvSpPr>
          <a:spLocks/>
        </xdr:cNvSpPr>
      </xdr:nvSpPr>
      <xdr:spPr>
        <a:xfrm>
          <a:off x="210502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161925</xdr:colOff>
      <xdr:row>12</xdr:row>
      <xdr:rowOff>104775</xdr:rowOff>
    </xdr:from>
    <xdr:to>
      <xdr:col>9</xdr:col>
      <xdr:colOff>161925</xdr:colOff>
      <xdr:row>13</xdr:row>
      <xdr:rowOff>0</xdr:rowOff>
    </xdr:to>
    <xdr:sp>
      <xdr:nvSpPr>
        <xdr:cNvPr id="40" name="Line 40"/>
        <xdr:cNvSpPr>
          <a:spLocks/>
        </xdr:cNvSpPr>
      </xdr:nvSpPr>
      <xdr:spPr>
        <a:xfrm>
          <a:off x="256222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12</xdr:row>
      <xdr:rowOff>104775</xdr:rowOff>
    </xdr:from>
    <xdr:to>
      <xdr:col>11</xdr:col>
      <xdr:colOff>161925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>
          <a:off x="3019425" y="2076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238125</xdr:colOff>
      <xdr:row>12</xdr:row>
      <xdr:rowOff>95250</xdr:rowOff>
    </xdr:from>
    <xdr:to>
      <xdr:col>13</xdr:col>
      <xdr:colOff>238125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>
          <a:off x="3562350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95250</xdr:rowOff>
    </xdr:from>
    <xdr:to>
      <xdr:col>15</xdr:col>
      <xdr:colOff>285750</xdr:colOff>
      <xdr:row>13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190500</xdr:colOff>
      <xdr:row>12</xdr:row>
      <xdr:rowOff>104775</xdr:rowOff>
    </xdr:from>
    <xdr:to>
      <xdr:col>17</xdr:col>
      <xdr:colOff>190500</xdr:colOff>
      <xdr:row>13</xdr:row>
      <xdr:rowOff>0</xdr:rowOff>
    </xdr:to>
    <xdr:sp>
      <xdr:nvSpPr>
        <xdr:cNvPr id="44" name="Line 44"/>
        <xdr:cNvSpPr>
          <a:spLocks/>
        </xdr:cNvSpPr>
      </xdr:nvSpPr>
      <xdr:spPr>
        <a:xfrm>
          <a:off x="486727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295275</xdr:colOff>
      <xdr:row>12</xdr:row>
      <xdr:rowOff>95250</xdr:rowOff>
    </xdr:from>
    <xdr:to>
      <xdr:col>19</xdr:col>
      <xdr:colOff>295275</xdr:colOff>
      <xdr:row>13</xdr:row>
      <xdr:rowOff>0</xdr:rowOff>
    </xdr:to>
    <xdr:sp>
      <xdr:nvSpPr>
        <xdr:cNvPr id="45" name="Line 45"/>
        <xdr:cNvSpPr>
          <a:spLocks/>
        </xdr:cNvSpPr>
      </xdr:nvSpPr>
      <xdr:spPr>
        <a:xfrm>
          <a:off x="5467350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95250</xdr:rowOff>
    </xdr:from>
    <xdr:to>
      <xdr:col>21</xdr:col>
      <xdr:colOff>190500</xdr:colOff>
      <xdr:row>13</xdr:row>
      <xdr:rowOff>0</xdr:rowOff>
    </xdr:to>
    <xdr:sp>
      <xdr:nvSpPr>
        <xdr:cNvPr id="46" name="Line 46"/>
        <xdr:cNvSpPr>
          <a:spLocks/>
        </xdr:cNvSpPr>
      </xdr:nvSpPr>
      <xdr:spPr>
        <a:xfrm>
          <a:off x="6000750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12</xdr:row>
      <xdr:rowOff>95250</xdr:rowOff>
    </xdr:from>
    <xdr:to>
      <xdr:col>23</xdr:col>
      <xdr:colOff>180975</xdr:colOff>
      <xdr:row>12</xdr:row>
      <xdr:rowOff>171450</xdr:rowOff>
    </xdr:to>
    <xdr:sp>
      <xdr:nvSpPr>
        <xdr:cNvPr id="47" name="Line 47"/>
        <xdr:cNvSpPr>
          <a:spLocks/>
        </xdr:cNvSpPr>
      </xdr:nvSpPr>
      <xdr:spPr>
        <a:xfrm>
          <a:off x="6486525" y="2066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190500</xdr:colOff>
      <xdr:row>12</xdr:row>
      <xdr:rowOff>104775</xdr:rowOff>
    </xdr:from>
    <xdr:to>
      <xdr:col>25</xdr:col>
      <xdr:colOff>190500</xdr:colOff>
      <xdr:row>13</xdr:row>
      <xdr:rowOff>0</xdr:rowOff>
    </xdr:to>
    <xdr:sp>
      <xdr:nvSpPr>
        <xdr:cNvPr id="48" name="Line 48"/>
        <xdr:cNvSpPr>
          <a:spLocks/>
        </xdr:cNvSpPr>
      </xdr:nvSpPr>
      <xdr:spPr>
        <a:xfrm>
          <a:off x="698182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171450</xdr:colOff>
      <xdr:row>12</xdr:row>
      <xdr:rowOff>95250</xdr:rowOff>
    </xdr:from>
    <xdr:to>
      <xdr:col>27</xdr:col>
      <xdr:colOff>171450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>
          <a:off x="7458075" y="2066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12</xdr:row>
      <xdr:rowOff>95250</xdr:rowOff>
    </xdr:from>
    <xdr:to>
      <xdr:col>29</xdr:col>
      <xdr:colOff>171450</xdr:colOff>
      <xdr:row>13</xdr:row>
      <xdr:rowOff>0</xdr:rowOff>
    </xdr:to>
    <xdr:sp>
      <xdr:nvSpPr>
        <xdr:cNvPr id="50" name="Line 50"/>
        <xdr:cNvSpPr>
          <a:spLocks/>
        </xdr:cNvSpPr>
      </xdr:nvSpPr>
      <xdr:spPr>
        <a:xfrm>
          <a:off x="7972425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228600</xdr:colOff>
      <xdr:row>12</xdr:row>
      <xdr:rowOff>104775</xdr:rowOff>
    </xdr:from>
    <xdr:to>
      <xdr:col>31</xdr:col>
      <xdr:colOff>228600</xdr:colOff>
      <xdr:row>13</xdr:row>
      <xdr:rowOff>0</xdr:rowOff>
    </xdr:to>
    <xdr:sp>
      <xdr:nvSpPr>
        <xdr:cNvPr id="51" name="Line 51"/>
        <xdr:cNvSpPr>
          <a:spLocks/>
        </xdr:cNvSpPr>
      </xdr:nvSpPr>
      <xdr:spPr>
        <a:xfrm>
          <a:off x="852487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12</xdr:row>
      <xdr:rowOff>95250</xdr:rowOff>
    </xdr:from>
    <xdr:to>
      <xdr:col>33</xdr:col>
      <xdr:colOff>180975</xdr:colOff>
      <xdr:row>13</xdr:row>
      <xdr:rowOff>0</xdr:rowOff>
    </xdr:to>
    <xdr:sp>
      <xdr:nvSpPr>
        <xdr:cNvPr id="52" name="Line 52"/>
        <xdr:cNvSpPr>
          <a:spLocks/>
        </xdr:cNvSpPr>
      </xdr:nvSpPr>
      <xdr:spPr>
        <a:xfrm>
          <a:off x="9077325" y="2066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12</xdr:row>
      <xdr:rowOff>104775</xdr:rowOff>
    </xdr:from>
    <xdr:to>
      <xdr:col>35</xdr:col>
      <xdr:colOff>180975</xdr:colOff>
      <xdr:row>13</xdr:row>
      <xdr:rowOff>0</xdr:rowOff>
    </xdr:to>
    <xdr:sp>
      <xdr:nvSpPr>
        <xdr:cNvPr id="53" name="Line 53"/>
        <xdr:cNvSpPr>
          <a:spLocks/>
        </xdr:cNvSpPr>
      </xdr:nvSpPr>
      <xdr:spPr>
        <a:xfrm>
          <a:off x="9610725" y="2076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171450</xdr:colOff>
      <xdr:row>14</xdr:row>
      <xdr:rowOff>66675</xdr:rowOff>
    </xdr:from>
    <xdr:to>
      <xdr:col>21</xdr:col>
      <xdr:colOff>171450</xdr:colOff>
      <xdr:row>15</xdr:row>
      <xdr:rowOff>9525</xdr:rowOff>
    </xdr:to>
    <xdr:sp>
      <xdr:nvSpPr>
        <xdr:cNvPr id="54" name="Line 54"/>
        <xdr:cNvSpPr>
          <a:spLocks/>
        </xdr:cNvSpPr>
      </xdr:nvSpPr>
      <xdr:spPr>
        <a:xfrm>
          <a:off x="5981700" y="3686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238125</xdr:colOff>
      <xdr:row>14</xdr:row>
      <xdr:rowOff>57150</xdr:rowOff>
    </xdr:from>
    <xdr:to>
      <xdr:col>19</xdr:col>
      <xdr:colOff>238125</xdr:colOff>
      <xdr:row>15</xdr:row>
      <xdr:rowOff>0</xdr:rowOff>
    </xdr:to>
    <xdr:sp>
      <xdr:nvSpPr>
        <xdr:cNvPr id="55" name="Line 55"/>
        <xdr:cNvSpPr>
          <a:spLocks/>
        </xdr:cNvSpPr>
      </xdr:nvSpPr>
      <xdr:spPr>
        <a:xfrm>
          <a:off x="541020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171450</xdr:colOff>
      <xdr:row>14</xdr:row>
      <xdr:rowOff>57150</xdr:rowOff>
    </xdr:from>
    <xdr:to>
      <xdr:col>17</xdr:col>
      <xdr:colOff>171450</xdr:colOff>
      <xdr:row>15</xdr:row>
      <xdr:rowOff>0</xdr:rowOff>
    </xdr:to>
    <xdr:sp>
      <xdr:nvSpPr>
        <xdr:cNvPr id="56" name="Line 56"/>
        <xdr:cNvSpPr>
          <a:spLocks/>
        </xdr:cNvSpPr>
      </xdr:nvSpPr>
      <xdr:spPr>
        <a:xfrm>
          <a:off x="484822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266700</xdr:colOff>
      <xdr:row>14</xdr:row>
      <xdr:rowOff>57150</xdr:rowOff>
    </xdr:from>
    <xdr:to>
      <xdr:col>15</xdr:col>
      <xdr:colOff>266700</xdr:colOff>
      <xdr:row>15</xdr:row>
      <xdr:rowOff>0</xdr:rowOff>
    </xdr:to>
    <xdr:sp>
      <xdr:nvSpPr>
        <xdr:cNvPr id="57" name="Line 57"/>
        <xdr:cNvSpPr>
          <a:spLocks/>
        </xdr:cNvSpPr>
      </xdr:nvSpPr>
      <xdr:spPr>
        <a:xfrm>
          <a:off x="425767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14</xdr:row>
      <xdr:rowOff>57150</xdr:rowOff>
    </xdr:from>
    <xdr:to>
      <xdr:col>13</xdr:col>
      <xdr:colOff>285750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360997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14</xdr:row>
      <xdr:rowOff>57150</xdr:rowOff>
    </xdr:from>
    <xdr:to>
      <xdr:col>11</xdr:col>
      <xdr:colOff>161925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301942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161925</xdr:colOff>
      <xdr:row>14</xdr:row>
      <xdr:rowOff>57150</xdr:rowOff>
    </xdr:from>
    <xdr:to>
      <xdr:col>9</xdr:col>
      <xdr:colOff>161925</xdr:colOff>
      <xdr:row>15</xdr:row>
      <xdr:rowOff>0</xdr:rowOff>
    </xdr:to>
    <xdr:sp>
      <xdr:nvSpPr>
        <xdr:cNvPr id="60" name="Line 60"/>
        <xdr:cNvSpPr>
          <a:spLocks/>
        </xdr:cNvSpPr>
      </xdr:nvSpPr>
      <xdr:spPr>
        <a:xfrm>
          <a:off x="256222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14</xdr:row>
      <xdr:rowOff>57150</xdr:rowOff>
    </xdr:from>
    <xdr:to>
      <xdr:col>7</xdr:col>
      <xdr:colOff>171450</xdr:colOff>
      <xdr:row>15</xdr:row>
      <xdr:rowOff>9525</xdr:rowOff>
    </xdr:to>
    <xdr:sp>
      <xdr:nvSpPr>
        <xdr:cNvPr id="61" name="Line 61"/>
        <xdr:cNvSpPr>
          <a:spLocks/>
        </xdr:cNvSpPr>
      </xdr:nvSpPr>
      <xdr:spPr>
        <a:xfrm>
          <a:off x="2114550" y="3676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57150</xdr:rowOff>
    </xdr:from>
    <xdr:to>
      <xdr:col>5</xdr:col>
      <xdr:colOff>152400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1638300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57150</xdr:rowOff>
    </xdr:from>
    <xdr:to>
      <xdr:col>3</xdr:col>
      <xdr:colOff>133350</xdr:colOff>
      <xdr:row>15</xdr:row>
      <xdr:rowOff>0</xdr:rowOff>
    </xdr:to>
    <xdr:sp>
      <xdr:nvSpPr>
        <xdr:cNvPr id="63" name="Line 63"/>
        <xdr:cNvSpPr>
          <a:spLocks/>
        </xdr:cNvSpPr>
      </xdr:nvSpPr>
      <xdr:spPr>
        <a:xfrm>
          <a:off x="1171575" y="3676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C1">
      <selection activeCell="A3" sqref="A3:H3"/>
    </sheetView>
  </sheetViews>
  <sheetFormatPr defaultColWidth="9.00390625" defaultRowHeight="12.75"/>
  <cols>
    <col min="1" max="1" width="3.875" style="0" customWidth="1"/>
    <col min="2" max="2" width="22.875" style="0" bestFit="1" customWidth="1"/>
    <col min="3" max="3" width="24.00390625" style="0" bestFit="1" customWidth="1"/>
    <col min="4" max="4" width="24.625" style="0" customWidth="1"/>
    <col min="5" max="5" width="17.375" style="0" bestFit="1" customWidth="1"/>
    <col min="6" max="6" width="12.00390625" style="0" customWidth="1"/>
    <col min="7" max="7" width="12.75390625" style="0" customWidth="1"/>
    <col min="8" max="8" width="13.125" style="0" customWidth="1"/>
    <col min="9" max="9" width="12.25390625" style="0" customWidth="1"/>
    <col min="10" max="10" width="11.125" style="0" customWidth="1"/>
  </cols>
  <sheetData>
    <row r="1" ht="20.25">
      <c r="H1" s="119" t="s">
        <v>177</v>
      </c>
    </row>
    <row r="3" spans="1:8" ht="22.5">
      <c r="A3" s="72" t="s">
        <v>0</v>
      </c>
      <c r="B3" s="72"/>
      <c r="C3" s="72"/>
      <c r="D3" s="72"/>
      <c r="E3" s="72"/>
      <c r="F3" s="72"/>
      <c r="G3" s="72"/>
      <c r="H3" s="72"/>
    </row>
    <row r="4" spans="1:8" ht="22.5">
      <c r="A4" s="72" t="s">
        <v>1</v>
      </c>
      <c r="B4" s="72"/>
      <c r="C4" s="72"/>
      <c r="D4" s="72"/>
      <c r="E4" s="72"/>
      <c r="F4" s="72"/>
      <c r="G4" s="72"/>
      <c r="H4" s="72"/>
    </row>
    <row r="5" spans="1:8" ht="22.5">
      <c r="A5" s="73" t="s">
        <v>14</v>
      </c>
      <c r="B5" s="73"/>
      <c r="C5" s="73"/>
      <c r="D5" s="73"/>
      <c r="E5" s="73"/>
      <c r="F5" s="73"/>
      <c r="G5" s="73"/>
      <c r="H5" s="73"/>
    </row>
    <row r="6" spans="1:8" ht="22.5">
      <c r="A6" s="91"/>
      <c r="B6" s="91"/>
      <c r="C6" s="91"/>
      <c r="D6" s="91"/>
      <c r="E6" s="91"/>
      <c r="F6" s="91"/>
      <c r="G6" s="91"/>
      <c r="H6" s="91"/>
    </row>
    <row r="7" spans="1:8" s="1" customFormat="1" ht="33.75" customHeight="1">
      <c r="A7" s="78" t="s">
        <v>7</v>
      </c>
      <c r="B7" s="78" t="s">
        <v>2</v>
      </c>
      <c r="C7" s="78" t="s">
        <v>3</v>
      </c>
      <c r="D7" s="78" t="s">
        <v>4</v>
      </c>
      <c r="E7" s="78" t="s">
        <v>13</v>
      </c>
      <c r="F7" s="78" t="s">
        <v>5</v>
      </c>
      <c r="G7" s="78" t="s">
        <v>8</v>
      </c>
      <c r="H7" s="78" t="s">
        <v>6</v>
      </c>
    </row>
    <row r="8" spans="1:8" ht="18.75" customHeight="1">
      <c r="A8" s="81">
        <v>1</v>
      </c>
      <c r="B8" s="82" t="s">
        <v>9</v>
      </c>
      <c r="C8" s="83" t="s">
        <v>15</v>
      </c>
      <c r="D8" s="100" t="s">
        <v>12</v>
      </c>
      <c r="E8" s="84">
        <v>35466</v>
      </c>
      <c r="F8" s="85">
        <v>109283</v>
      </c>
      <c r="G8" s="85">
        <v>22155.05</v>
      </c>
      <c r="H8" s="85">
        <v>22265.83</v>
      </c>
    </row>
    <row r="9" spans="1:8" ht="18.75" customHeight="1">
      <c r="A9" s="86"/>
      <c r="B9" s="82" t="s">
        <v>9</v>
      </c>
      <c r="C9" s="83" t="s">
        <v>15</v>
      </c>
      <c r="D9" s="101"/>
      <c r="E9" s="84">
        <v>35567</v>
      </c>
      <c r="F9" s="85">
        <v>114984</v>
      </c>
      <c r="G9" s="85">
        <v>35157.81</v>
      </c>
      <c r="H9" s="85">
        <v>38040.75</v>
      </c>
    </row>
    <row r="10" spans="1:8" ht="18.75" customHeight="1">
      <c r="A10" s="87"/>
      <c r="B10" s="82" t="s">
        <v>9</v>
      </c>
      <c r="C10" s="83" t="s">
        <v>15</v>
      </c>
      <c r="D10" s="101"/>
      <c r="E10" s="84">
        <v>35669</v>
      </c>
      <c r="F10" s="85">
        <v>72658</v>
      </c>
      <c r="G10" s="85">
        <v>25639.35</v>
      </c>
      <c r="H10" s="85">
        <v>31922.86</v>
      </c>
    </row>
    <row r="11" spans="1:8" ht="18.75" customHeight="1">
      <c r="A11" s="87">
        <v>2</v>
      </c>
      <c r="B11" s="88" t="s">
        <v>10</v>
      </c>
      <c r="C11" s="89" t="s">
        <v>16</v>
      </c>
      <c r="D11" s="102"/>
      <c r="E11" s="84">
        <v>35727</v>
      </c>
      <c r="F11" s="90" t="s">
        <v>11</v>
      </c>
      <c r="G11" s="85">
        <v>74971.85</v>
      </c>
      <c r="H11" s="85">
        <v>83503.65</v>
      </c>
    </row>
    <row r="13" spans="3:7" ht="18" hidden="1">
      <c r="C13" s="9" t="s">
        <v>19</v>
      </c>
      <c r="D13" s="9">
        <v>18487.94</v>
      </c>
      <c r="E13" s="9"/>
      <c r="F13" s="9"/>
      <c r="G13" s="9"/>
    </row>
    <row r="14" spans="3:7" ht="18" hidden="1">
      <c r="C14" s="9" t="s">
        <v>17</v>
      </c>
      <c r="D14" s="9">
        <v>175733.1</v>
      </c>
      <c r="E14" s="9"/>
      <c r="F14" s="9"/>
      <c r="G14" s="9"/>
    </row>
    <row r="15" spans="3:9" ht="18" hidden="1">
      <c r="C15" s="9" t="s">
        <v>18</v>
      </c>
      <c r="D15" s="9">
        <v>134843.87</v>
      </c>
      <c r="E15" s="9"/>
      <c r="F15" s="9"/>
      <c r="G15" s="9"/>
      <c r="H15" t="s">
        <v>104</v>
      </c>
      <c r="I15" s="65">
        <f>G20/D15</f>
        <v>0.09845647265982503</v>
      </c>
    </row>
    <row r="16" spans="3:7" ht="18" hidden="1">
      <c r="C16" s="9" t="s">
        <v>21</v>
      </c>
      <c r="D16" s="9">
        <v>5149.21</v>
      </c>
      <c r="E16" s="9"/>
      <c r="F16" s="9"/>
      <c r="G16" s="9"/>
    </row>
    <row r="17" spans="3:7" ht="18" hidden="1">
      <c r="C17" s="9" t="s">
        <v>20</v>
      </c>
      <c r="D17" s="9">
        <f>D13+D14-D15-D16</f>
        <v>54227.960000000014</v>
      </c>
      <c r="E17" s="9"/>
      <c r="F17" s="9" t="s">
        <v>62</v>
      </c>
      <c r="G17" s="9">
        <v>2.7</v>
      </c>
    </row>
    <row r="18" spans="3:7" ht="18" hidden="1">
      <c r="C18" s="9"/>
      <c r="D18" s="9"/>
      <c r="E18" s="9"/>
      <c r="F18" s="9"/>
      <c r="G18" s="9"/>
    </row>
    <row r="19" spans="3:7" ht="18" hidden="1">
      <c r="C19" s="9" t="s">
        <v>22</v>
      </c>
      <c r="D19" s="16">
        <f>D15*1.2</f>
        <v>161812.644</v>
      </c>
      <c r="E19" s="9"/>
      <c r="F19" s="9" t="s">
        <v>63</v>
      </c>
      <c r="G19" s="16">
        <f>D20-2.7-8000</f>
        <v>18966.074</v>
      </c>
    </row>
    <row r="20" spans="3:7" ht="18" hidden="1">
      <c r="C20" s="9" t="s">
        <v>23</v>
      </c>
      <c r="D20" s="16">
        <f>D19/6</f>
        <v>26968.774</v>
      </c>
      <c r="E20" s="9"/>
      <c r="F20" s="9" t="s">
        <v>64</v>
      </c>
      <c r="G20" s="16">
        <f>G19*0.7</f>
        <v>13276.2518</v>
      </c>
    </row>
    <row r="21" ht="12.75" hidden="1"/>
    <row r="22" spans="2:10" s="5" customFormat="1" ht="38.25" hidden="1">
      <c r="B22" s="5" t="s">
        <v>26</v>
      </c>
      <c r="C22" s="5" t="s">
        <v>24</v>
      </c>
      <c r="D22" s="5" t="s">
        <v>29</v>
      </c>
      <c r="E22" s="5" t="s">
        <v>25</v>
      </c>
      <c r="F22" s="5" t="s">
        <v>29</v>
      </c>
      <c r="G22" s="5" t="s">
        <v>30</v>
      </c>
      <c r="H22" s="5" t="s">
        <v>29</v>
      </c>
      <c r="I22" s="5" t="s">
        <v>105</v>
      </c>
      <c r="J22" s="5" t="s">
        <v>29</v>
      </c>
    </row>
    <row r="23" spans="2:9" ht="12.75" hidden="1">
      <c r="B23" t="s">
        <v>27</v>
      </c>
      <c r="I23">
        <f>D13</f>
        <v>18487.94</v>
      </c>
    </row>
    <row r="24" spans="2:10" ht="12.75" hidden="1">
      <c r="B24">
        <v>1</v>
      </c>
      <c r="C24" s="3">
        <v>22265.83</v>
      </c>
      <c r="D24" s="7">
        <v>1</v>
      </c>
      <c r="E24" s="4">
        <f>D15*0.18</f>
        <v>24271.8966</v>
      </c>
      <c r="F24" s="7">
        <v>1</v>
      </c>
      <c r="G24" s="2">
        <f>(I24+I23)/2</f>
        <v>17484.9067</v>
      </c>
      <c r="H24" s="7">
        <v>1</v>
      </c>
      <c r="I24" s="2">
        <f>I23+C24-E24</f>
        <v>16481.873400000004</v>
      </c>
      <c r="J24" s="7">
        <v>1</v>
      </c>
    </row>
    <row r="25" spans="2:10" ht="12.75" hidden="1">
      <c r="B25">
        <v>2</v>
      </c>
      <c r="C25" s="3">
        <v>38040.75</v>
      </c>
      <c r="D25" s="7">
        <f>C25/C24</f>
        <v>1.7084811120896906</v>
      </c>
      <c r="E25" s="4">
        <f>D15*0.22</f>
        <v>29665.6514</v>
      </c>
      <c r="F25" s="7">
        <f>E25/E24</f>
        <v>1.222222222222222</v>
      </c>
      <c r="G25" s="2">
        <f>(I25+I24)/2</f>
        <v>20669.422700000003</v>
      </c>
      <c r="H25" s="7">
        <f>G25/G24</f>
        <v>1.1821294248027072</v>
      </c>
      <c r="I25" s="2">
        <f>I24+C25-E25</f>
        <v>24856.972000000005</v>
      </c>
      <c r="J25" s="7">
        <f>I25/I24</f>
        <v>1.5081399666617994</v>
      </c>
    </row>
    <row r="26" spans="2:10" ht="12.75" hidden="1">
      <c r="B26">
        <v>3</v>
      </c>
      <c r="C26" s="3">
        <v>31922.86</v>
      </c>
      <c r="D26" s="7">
        <f>C26/C25</f>
        <v>0.8391753580042455</v>
      </c>
      <c r="E26" s="4">
        <f>D15*0.27</f>
        <v>36407.844900000004</v>
      </c>
      <c r="F26" s="7">
        <f>E26/E25</f>
        <v>1.2272727272727275</v>
      </c>
      <c r="G26" s="2">
        <f>(I26+I25)/2</f>
        <v>22614.479550000004</v>
      </c>
      <c r="H26" s="7">
        <f>G26/G25</f>
        <v>1.0941031047761194</v>
      </c>
      <c r="I26" s="2">
        <f>I25+C26-E26</f>
        <v>20371.987100000006</v>
      </c>
      <c r="J26" s="7">
        <f>I26/I25</f>
        <v>0.8195683327800346</v>
      </c>
    </row>
    <row r="27" spans="2:10" ht="12.75" hidden="1">
      <c r="B27">
        <v>4</v>
      </c>
      <c r="C27" s="3">
        <f>H11</f>
        <v>83503.65</v>
      </c>
      <c r="D27" s="7">
        <f>C27/C26</f>
        <v>2.615794762749954</v>
      </c>
      <c r="E27" s="4">
        <f>D15*0.33+D16</f>
        <v>49647.6871</v>
      </c>
      <c r="F27" s="7">
        <f>E27/E26</f>
        <v>1.3636535542371528</v>
      </c>
      <c r="G27" s="2">
        <f>(I27+I26)/2</f>
        <v>37299.973549999995</v>
      </c>
      <c r="H27" s="7">
        <f>G27/G26</f>
        <v>1.649384566535381</v>
      </c>
      <c r="I27" s="2">
        <f>I26+C27-E27+0.01</f>
        <v>54227.95999999999</v>
      </c>
      <c r="J27" s="7">
        <f>I27/I26</f>
        <v>2.661888589159767</v>
      </c>
    </row>
    <row r="28" spans="2:9" ht="12.75" hidden="1">
      <c r="B28" t="s">
        <v>28</v>
      </c>
      <c r="G28" s="2"/>
      <c r="I28">
        <f>D17</f>
        <v>54227.960000000014</v>
      </c>
    </row>
    <row r="29" spans="4:5" ht="12.75" hidden="1">
      <c r="D29" t="s">
        <v>67</v>
      </c>
      <c r="E29" s="2">
        <f>AVERAGE(E24:E27)</f>
        <v>34998.270000000004</v>
      </c>
    </row>
    <row r="30" spans="4:5" ht="12.75" hidden="1">
      <c r="D30" t="s">
        <v>31</v>
      </c>
      <c r="E30" s="2">
        <f>(0.5*I23+I24+I25+I26+0.5*I27)/4</f>
        <v>24517.195625000004</v>
      </c>
    </row>
    <row r="31" spans="4:5" ht="12.75" hidden="1">
      <c r="D31" t="s">
        <v>32</v>
      </c>
      <c r="E31" s="2">
        <f>D15/365</f>
        <v>369.4352602739726</v>
      </c>
    </row>
    <row r="32" spans="7:8" ht="12.75" hidden="1">
      <c r="G32" s="7">
        <f>F24*F25*F26-H24*H25*H26</f>
        <v>0.20662852607615</v>
      </c>
      <c r="H32" s="7">
        <f>H27-F27</f>
        <v>0.28573101229822817</v>
      </c>
    </row>
    <row r="33" spans="4:5" ht="12.75" hidden="1">
      <c r="D33" t="s">
        <v>33</v>
      </c>
      <c r="E33" s="8">
        <f>E30/E31</f>
        <v>66.36398379195882</v>
      </c>
    </row>
    <row r="34" spans="4:8" ht="12.75" hidden="1">
      <c r="D34" t="s">
        <v>34</v>
      </c>
      <c r="E34" s="8">
        <f>D15/E30</f>
        <v>5.499971206433606</v>
      </c>
      <c r="H34" s="2"/>
    </row>
    <row r="35" ht="12.75" hidden="1"/>
    <row r="36" spans="4:5" ht="12.75" hidden="1">
      <c r="D36" t="s">
        <v>35</v>
      </c>
      <c r="E36" s="6">
        <f>I28/I23*100</f>
        <v>293.3153179856708</v>
      </c>
    </row>
    <row r="37" ht="12.75" hidden="1"/>
    <row r="38" spans="4:5" ht="12.75" hidden="1">
      <c r="D38" t="s">
        <v>68</v>
      </c>
      <c r="E38">
        <v>4000</v>
      </c>
    </row>
    <row r="39" spans="4:5" ht="12.75" hidden="1">
      <c r="D39" t="s">
        <v>69</v>
      </c>
      <c r="E39">
        <v>2500</v>
      </c>
    </row>
  </sheetData>
  <mergeCells count="4">
    <mergeCell ref="D8:D11"/>
    <mergeCell ref="A3:H3"/>
    <mergeCell ref="A4:H4"/>
    <mergeCell ref="A5:H5"/>
  </mergeCells>
  <printOptions/>
  <pageMargins left="0.7874015748031497" right="0.3937007874015748" top="0.787401574803149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workbookViewId="0" topLeftCell="B1">
      <selection activeCell="J2" sqref="J2"/>
    </sheetView>
  </sheetViews>
  <sheetFormatPr defaultColWidth="9.00390625" defaultRowHeight="12.75"/>
  <cols>
    <col min="1" max="1" width="6.75390625" style="0" customWidth="1"/>
    <col min="2" max="2" width="17.375" style="0" customWidth="1"/>
    <col min="3" max="3" width="14.875" style="0" bestFit="1" customWidth="1"/>
    <col min="4" max="4" width="13.125" style="0" customWidth="1"/>
    <col min="5" max="5" width="12.00390625" style="0" bestFit="1" customWidth="1"/>
    <col min="6" max="6" width="13.375" style="0" bestFit="1" customWidth="1"/>
    <col min="7" max="7" width="13.625" style="0" bestFit="1" customWidth="1"/>
    <col min="8" max="8" width="13.625" style="0" customWidth="1"/>
    <col min="9" max="9" width="12.00390625" style="0" bestFit="1" customWidth="1"/>
    <col min="10" max="10" width="13.375" style="0" bestFit="1" customWidth="1"/>
  </cols>
  <sheetData>
    <row r="1" ht="18">
      <c r="J1" s="9" t="s">
        <v>178</v>
      </c>
    </row>
    <row r="2" ht="31.5" customHeight="1"/>
    <row r="3" spans="2:10" s="5" customFormat="1" ht="72">
      <c r="B3" s="78" t="s">
        <v>171</v>
      </c>
      <c r="C3" s="78" t="s">
        <v>170</v>
      </c>
      <c r="D3" s="78" t="s">
        <v>169</v>
      </c>
      <c r="E3" s="78" t="str">
        <f>'додаток 1'!E22</f>
        <v>вибуття</v>
      </c>
      <c r="F3" s="78" t="s">
        <v>169</v>
      </c>
      <c r="G3" s="78" t="str">
        <f>'додаток 1'!G22</f>
        <v>ТЗ середні</v>
      </c>
      <c r="H3" s="78" t="s">
        <v>169</v>
      </c>
      <c r="I3" s="78" t="str">
        <f>'додаток 1'!I22</f>
        <v>ТЗ на кінець періода</v>
      </c>
      <c r="J3" s="78" t="s">
        <v>169</v>
      </c>
    </row>
    <row r="4" spans="2:10" ht="36">
      <c r="B4" s="78" t="str">
        <f>'додаток 1'!B23</f>
        <v>залишок на початок року</v>
      </c>
      <c r="C4" s="78"/>
      <c r="D4" s="78"/>
      <c r="E4" s="78"/>
      <c r="F4" s="78"/>
      <c r="G4" s="78"/>
      <c r="H4" s="78"/>
      <c r="I4" s="78">
        <f>'додаток 1'!I23</f>
        <v>18487.94</v>
      </c>
      <c r="J4" s="78"/>
    </row>
    <row r="5" spans="2:10" ht="18">
      <c r="B5" s="78">
        <f>'додаток 1'!B24</f>
        <v>1</v>
      </c>
      <c r="C5" s="78">
        <f>'додаток 1'!C24</f>
        <v>22265.83</v>
      </c>
      <c r="D5" s="79">
        <f>'додаток 1'!D24</f>
        <v>1</v>
      </c>
      <c r="E5" s="80">
        <f>'додаток 1'!E24</f>
        <v>24271.8966</v>
      </c>
      <c r="F5" s="79">
        <f>'додаток 1'!F24</f>
        <v>1</v>
      </c>
      <c r="G5" s="80">
        <f>'додаток 1'!G24</f>
        <v>17484.9067</v>
      </c>
      <c r="H5" s="79">
        <f>'додаток 1'!H24</f>
        <v>1</v>
      </c>
      <c r="I5" s="80">
        <f>'додаток 1'!I24</f>
        <v>16481.873400000004</v>
      </c>
      <c r="J5" s="79">
        <f>'додаток 1'!J24</f>
        <v>1</v>
      </c>
    </row>
    <row r="6" spans="2:10" ht="18">
      <c r="B6" s="78">
        <f>'додаток 1'!B25</f>
        <v>2</v>
      </c>
      <c r="C6" s="78">
        <f>'додаток 1'!C25</f>
        <v>38040.75</v>
      </c>
      <c r="D6" s="79">
        <f>'додаток 1'!D25</f>
        <v>1.7084811120896906</v>
      </c>
      <c r="E6" s="80">
        <f>'додаток 1'!E25</f>
        <v>29665.6514</v>
      </c>
      <c r="F6" s="79">
        <f>'додаток 1'!F25</f>
        <v>1.222222222222222</v>
      </c>
      <c r="G6" s="80">
        <f>'додаток 1'!G25</f>
        <v>20669.422700000003</v>
      </c>
      <c r="H6" s="79">
        <f>'додаток 1'!H25</f>
        <v>1.1821294248027072</v>
      </c>
      <c r="I6" s="80">
        <f>'додаток 1'!I25</f>
        <v>24856.972000000005</v>
      </c>
      <c r="J6" s="79">
        <f>'додаток 1'!J25</f>
        <v>1.5081399666617994</v>
      </c>
    </row>
    <row r="7" spans="2:10" ht="18">
      <c r="B7" s="78">
        <f>'додаток 1'!B26</f>
        <v>3</v>
      </c>
      <c r="C7" s="78">
        <f>'додаток 1'!C26</f>
        <v>31922.86</v>
      </c>
      <c r="D7" s="79">
        <f>'додаток 1'!D26</f>
        <v>0.8391753580042455</v>
      </c>
      <c r="E7" s="80">
        <f>'додаток 1'!E26</f>
        <v>36407.844900000004</v>
      </c>
      <c r="F7" s="79">
        <f>'додаток 1'!F26</f>
        <v>1.2272727272727275</v>
      </c>
      <c r="G7" s="80">
        <f>'додаток 1'!G26</f>
        <v>22614.479550000004</v>
      </c>
      <c r="H7" s="79">
        <f>'додаток 1'!H26</f>
        <v>1.0941031047761194</v>
      </c>
      <c r="I7" s="80">
        <f>'додаток 1'!I26</f>
        <v>20371.987100000006</v>
      </c>
      <c r="J7" s="79">
        <f>'додаток 1'!J26</f>
        <v>0.8195683327800346</v>
      </c>
    </row>
    <row r="8" spans="2:10" ht="18">
      <c r="B8" s="78">
        <f>'додаток 1'!B27</f>
        <v>4</v>
      </c>
      <c r="C8" s="78">
        <f>'додаток 1'!C27</f>
        <v>83503.65</v>
      </c>
      <c r="D8" s="79">
        <f>'додаток 1'!D27</f>
        <v>2.615794762749954</v>
      </c>
      <c r="E8" s="80">
        <f>'додаток 1'!E27</f>
        <v>49647.6871</v>
      </c>
      <c r="F8" s="79">
        <f>'додаток 1'!F27</f>
        <v>1.3636535542371528</v>
      </c>
      <c r="G8" s="80">
        <f>'додаток 1'!G27</f>
        <v>37299.973549999995</v>
      </c>
      <c r="H8" s="79">
        <f>'додаток 1'!H27</f>
        <v>1.649384566535381</v>
      </c>
      <c r="I8" s="80">
        <f>'додаток 1'!I27</f>
        <v>54227.95999999999</v>
      </c>
      <c r="J8" s="79">
        <f>'додаток 1'!J27</f>
        <v>2.661888589159767</v>
      </c>
    </row>
    <row r="9" spans="2:10" ht="36">
      <c r="B9" s="78" t="str">
        <f>'додаток 1'!B28</f>
        <v>залишок на кінець року</v>
      </c>
      <c r="C9" s="78"/>
      <c r="D9" s="78"/>
      <c r="E9" s="78"/>
      <c r="F9" s="78"/>
      <c r="G9" s="78"/>
      <c r="H9" s="78"/>
      <c r="I9" s="80">
        <f>'додаток 1'!I28</f>
        <v>54227.960000000014</v>
      </c>
      <c r="J9" s="78"/>
    </row>
    <row r="10" spans="2:10" ht="36">
      <c r="B10" s="78" t="s">
        <v>172</v>
      </c>
      <c r="C10" s="80">
        <f>AVERAGE(C5:C8)</f>
        <v>43933.2725</v>
      </c>
      <c r="D10" s="78"/>
      <c r="E10" s="80">
        <f>E11</f>
        <v>34998.270000000004</v>
      </c>
      <c r="F10" s="78"/>
      <c r="G10" s="80">
        <f>E12</f>
        <v>24517.195625000004</v>
      </c>
      <c r="H10" s="78"/>
      <c r="I10" s="80"/>
      <c r="J10" s="78"/>
    </row>
    <row r="11" spans="2:10" ht="12.75" hidden="1">
      <c r="B11" s="5"/>
      <c r="C11" s="5"/>
      <c r="D11" s="5" t="str">
        <f>'додаток 1'!D29</f>
        <v>середній т/о</v>
      </c>
      <c r="E11" s="5">
        <f>'додаток 1'!E29</f>
        <v>34998.270000000004</v>
      </c>
      <c r="F11" s="5"/>
      <c r="G11" s="5"/>
      <c r="H11" s="5"/>
      <c r="I11" s="5"/>
      <c r="J11" s="5"/>
    </row>
    <row r="12" spans="2:10" ht="25.5" hidden="1">
      <c r="B12" s="5"/>
      <c r="C12" s="5"/>
      <c r="D12" s="5" t="str">
        <f>'додаток 1'!D30</f>
        <v>середні запаси</v>
      </c>
      <c r="E12" s="77">
        <f>'додаток 1'!E30</f>
        <v>24517.195625000004</v>
      </c>
      <c r="F12" s="5"/>
      <c r="G12" s="5"/>
      <c r="H12" s="5"/>
      <c r="I12" s="5"/>
      <c r="J12" s="5"/>
    </row>
    <row r="13" spans="2:10" ht="25.5" hidden="1">
      <c r="B13" s="5"/>
      <c r="C13" s="5"/>
      <c r="D13" s="5" t="str">
        <f>'додаток 1'!D31</f>
        <v>однодений т/о</v>
      </c>
      <c r="E13" s="5">
        <f>'додаток 1'!E31</f>
        <v>369.4352602739726</v>
      </c>
      <c r="F13" s="5"/>
      <c r="G13" s="5"/>
      <c r="H13" s="5"/>
      <c r="I13" s="5"/>
      <c r="J13" s="5"/>
    </row>
    <row r="14" spans="2:10" ht="12.75" hidden="1">
      <c r="B14" s="5"/>
      <c r="C14" s="5"/>
      <c r="D14" s="5"/>
      <c r="E14" s="5"/>
      <c r="F14" s="5"/>
      <c r="G14" s="5">
        <f>'додаток 1'!G32</f>
        <v>0.20662852607615</v>
      </c>
      <c r="H14" s="5">
        <f>'додаток 1'!H32</f>
        <v>0.28573101229822817</v>
      </c>
      <c r="I14" s="5"/>
      <c r="J14" s="5"/>
    </row>
    <row r="15" spans="2:10" ht="25.5" hidden="1">
      <c r="B15" s="5"/>
      <c r="C15" s="5"/>
      <c r="D15" s="5" t="str">
        <f>'додаток 1'!D33</f>
        <v>швидкість в дн</v>
      </c>
      <c r="E15" s="5">
        <f>'додаток 1'!E33</f>
        <v>66.36398379195882</v>
      </c>
      <c r="F15" s="5"/>
      <c r="G15" s="5"/>
      <c r="H15" s="5"/>
      <c r="I15" s="5"/>
      <c r="J15" s="5"/>
    </row>
    <row r="16" spans="2:10" ht="25.5" hidden="1">
      <c r="B16" s="5"/>
      <c r="C16" s="5"/>
      <c r="D16" s="5" t="str">
        <f>'додаток 1'!D34</f>
        <v>швидкість в разах</v>
      </c>
      <c r="E16" s="5">
        <f>'додаток 1'!E34</f>
        <v>5.499971206433606</v>
      </c>
      <c r="F16" s="5"/>
      <c r="G16" s="5"/>
      <c r="H16" s="5"/>
      <c r="I16" s="5"/>
      <c r="J16" s="5"/>
    </row>
    <row r="17" spans="2:10" ht="12.75" hidden="1">
      <c r="B17" s="5"/>
      <c r="C17" s="5"/>
      <c r="D17" s="5"/>
      <c r="E17" s="5"/>
      <c r="F17" s="5"/>
      <c r="G17" s="5"/>
      <c r="H17" s="5"/>
      <c r="I17" s="5"/>
      <c r="J17" s="5"/>
    </row>
    <row r="18" spans="2:10" ht="12.75" hidden="1">
      <c r="B18" s="5"/>
      <c r="C18" s="5"/>
      <c r="D18" s="5" t="str">
        <f>'додаток 1'!D36</f>
        <v>коеф росту тз</v>
      </c>
      <c r="E18" s="5">
        <f>'додаток 1'!E36</f>
        <v>293.3153179856708</v>
      </c>
      <c r="F18" s="5"/>
      <c r="G18" s="5"/>
      <c r="H18" s="5"/>
      <c r="I18" s="5"/>
      <c r="J18" s="5"/>
    </row>
    <row r="19" spans="2:10" ht="12.75" hidden="1">
      <c r="B19" s="5"/>
      <c r="C19" s="5"/>
      <c r="D19" s="5"/>
      <c r="E19" s="5"/>
      <c r="F19" s="5"/>
      <c r="G19" s="5"/>
      <c r="H19" s="5"/>
      <c r="I19" s="5"/>
      <c r="J19" s="5"/>
    </row>
    <row r="20" spans="2:10" ht="25.5" hidden="1">
      <c r="B20" s="5"/>
      <c r="C20" s="5"/>
      <c r="D20" s="5" t="str">
        <f>'додаток 1'!D38</f>
        <v>складські витрати</v>
      </c>
      <c r="E20" s="5">
        <f>'додаток 1'!E38</f>
        <v>4000</v>
      </c>
      <c r="F20" s="5"/>
      <c r="G20" s="5"/>
      <c r="H20" s="5"/>
      <c r="I20" s="5"/>
      <c r="J20" s="5"/>
    </row>
    <row r="21" spans="2:10" ht="25.5" hidden="1">
      <c r="B21" s="5"/>
      <c r="C21" s="5"/>
      <c r="D21" s="5" t="str">
        <f>'додаток 1'!D39</f>
        <v>транспотні витрати</v>
      </c>
      <c r="E21" s="5">
        <f>'додаток 1'!E39</f>
        <v>2500</v>
      </c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5"/>
      <c r="C23" s="5"/>
      <c r="D23" s="5"/>
      <c r="E23" s="5"/>
      <c r="F23" s="5"/>
      <c r="G23" s="5"/>
      <c r="H23" s="5"/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</sheetData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0" sqref="C10"/>
    </sheetView>
  </sheetViews>
  <sheetFormatPr defaultColWidth="9.00390625" defaultRowHeight="12.75"/>
  <cols>
    <col min="1" max="1" width="4.75390625" style="9" customWidth="1"/>
    <col min="2" max="2" width="44.125" style="9" bestFit="1" customWidth="1"/>
    <col min="3" max="3" width="12.75390625" style="9" bestFit="1" customWidth="1"/>
    <col min="4" max="4" width="14.375" style="9" customWidth="1"/>
    <col min="5" max="5" width="15.75390625" style="9" customWidth="1"/>
    <col min="6" max="6" width="13.75390625" style="9" customWidth="1"/>
    <col min="7" max="7" width="12.625" style="9" customWidth="1"/>
    <col min="8" max="8" width="15.125" style="9" customWidth="1"/>
    <col min="9" max="16384" width="9.125" style="9" customWidth="1"/>
  </cols>
  <sheetData>
    <row r="1" ht="18">
      <c r="H1" s="120" t="s">
        <v>179</v>
      </c>
    </row>
    <row r="2" spans="1:8" ht="22.5">
      <c r="A2" s="73" t="s">
        <v>98</v>
      </c>
      <c r="B2" s="73"/>
      <c r="C2" s="73"/>
      <c r="D2" s="73"/>
      <c r="E2" s="73"/>
      <c r="F2" s="73"/>
      <c r="G2" s="73"/>
      <c r="H2" s="73"/>
    </row>
    <row r="3" spans="1:8" ht="16.5" customHeight="1">
      <c r="A3" s="64"/>
      <c r="B3" s="64"/>
      <c r="C3" s="64"/>
      <c r="D3" s="64"/>
      <c r="E3" s="64"/>
      <c r="F3" s="64"/>
      <c r="G3" s="64"/>
      <c r="H3" s="64"/>
    </row>
    <row r="4" spans="1:8" s="23" customFormat="1" ht="54">
      <c r="A4" s="57" t="s">
        <v>7</v>
      </c>
      <c r="B4" s="92" t="s">
        <v>39</v>
      </c>
      <c r="C4" s="92" t="s">
        <v>101</v>
      </c>
      <c r="D4" s="92" t="s">
        <v>55</v>
      </c>
      <c r="E4" s="92" t="s">
        <v>40</v>
      </c>
      <c r="F4" s="92" t="s">
        <v>56</v>
      </c>
      <c r="G4" s="92" t="s">
        <v>102</v>
      </c>
      <c r="H4" s="93" t="s">
        <v>55</v>
      </c>
    </row>
    <row r="5" spans="1:8" ht="18">
      <c r="A5" s="24">
        <v>1</v>
      </c>
      <c r="B5" s="25" t="s">
        <v>36</v>
      </c>
      <c r="C5" s="41">
        <f>$C$10*F5/100</f>
        <v>4252.2262</v>
      </c>
      <c r="D5" s="28">
        <v>22</v>
      </c>
      <c r="E5" s="41">
        <f>$E$10*F5/100</f>
        <v>40418.613000000005</v>
      </c>
      <c r="F5" s="29">
        <v>23</v>
      </c>
      <c r="G5" s="41">
        <f>$G$10*F5/100</f>
        <v>12472.430800000004</v>
      </c>
      <c r="H5" s="30">
        <v>24</v>
      </c>
    </row>
    <row r="6" spans="1:8" ht="18">
      <c r="A6" s="26">
        <v>2</v>
      </c>
      <c r="B6" s="27" t="s">
        <v>42</v>
      </c>
      <c r="C6" s="42">
        <f>$C$10*F6/100</f>
        <v>5916.140799999999</v>
      </c>
      <c r="D6" s="31">
        <v>30</v>
      </c>
      <c r="E6" s="42">
        <f>$E$10*F6/100</f>
        <v>56234.592000000004</v>
      </c>
      <c r="F6" s="32">
        <v>32</v>
      </c>
      <c r="G6" s="42">
        <f>$G$10*F6/100</f>
        <v>17352.947200000006</v>
      </c>
      <c r="H6" s="33">
        <v>31</v>
      </c>
    </row>
    <row r="7" spans="1:8" ht="18">
      <c r="A7" s="24">
        <v>3</v>
      </c>
      <c r="B7" s="25" t="s">
        <v>41</v>
      </c>
      <c r="C7" s="41">
        <f>$C$10*F7/100</f>
        <v>2773.191</v>
      </c>
      <c r="D7" s="28">
        <v>15</v>
      </c>
      <c r="E7" s="41">
        <f>$E$10*F7/100</f>
        <v>26359.965</v>
      </c>
      <c r="F7" s="29">
        <v>15</v>
      </c>
      <c r="G7" s="41">
        <f>$G$10*F7/100</f>
        <v>8134.194000000002</v>
      </c>
      <c r="H7" s="30">
        <v>16</v>
      </c>
    </row>
    <row r="8" spans="1:8" ht="18">
      <c r="A8" s="26">
        <v>4</v>
      </c>
      <c r="B8" s="27" t="s">
        <v>37</v>
      </c>
      <c r="C8" s="42">
        <f>$C$10*F8/100</f>
        <v>3327.8291999999997</v>
      </c>
      <c r="D8" s="31">
        <v>20</v>
      </c>
      <c r="E8" s="42">
        <f>$E$10*F8/100</f>
        <v>31631.958000000002</v>
      </c>
      <c r="F8" s="32">
        <v>18</v>
      </c>
      <c r="G8" s="42">
        <f>$G$10*F8/100</f>
        <v>9761.032800000003</v>
      </c>
      <c r="H8" s="33">
        <v>16</v>
      </c>
    </row>
    <row r="9" spans="1:8" ht="18">
      <c r="A9" s="24">
        <v>5</v>
      </c>
      <c r="B9" s="25" t="s">
        <v>38</v>
      </c>
      <c r="C9" s="41">
        <f>$C$10*F9/100</f>
        <v>2218.5527999999995</v>
      </c>
      <c r="D9" s="28">
        <v>13</v>
      </c>
      <c r="E9" s="41">
        <f>$E$10*F9/100</f>
        <v>21087.972</v>
      </c>
      <c r="F9" s="29">
        <v>12</v>
      </c>
      <c r="G9" s="41">
        <f>$G$10*F9/100</f>
        <v>6507.355200000002</v>
      </c>
      <c r="H9" s="30">
        <v>13</v>
      </c>
    </row>
    <row r="10" spans="1:8" s="55" customFormat="1" ht="18">
      <c r="A10" s="49"/>
      <c r="B10" s="50" t="s">
        <v>173</v>
      </c>
      <c r="C10" s="50">
        <f>'додаток 1'!D13</f>
        <v>18487.94</v>
      </c>
      <c r="D10" s="51">
        <f>SUM(D5:D9)</f>
        <v>100</v>
      </c>
      <c r="E10" s="52">
        <v>175733.1</v>
      </c>
      <c r="F10" s="53">
        <f>SUM(F5:F9)</f>
        <v>100</v>
      </c>
      <c r="G10" s="52">
        <f>'додаток 1'!D17</f>
        <v>54227.960000000014</v>
      </c>
      <c r="H10" s="54">
        <f>SUM(H5:H9)</f>
        <v>100</v>
      </c>
    </row>
    <row r="11" spans="3:4" ht="40.5" customHeight="1">
      <c r="C11" s="16"/>
      <c r="D11" s="16"/>
    </row>
    <row r="12" spans="1:8" ht="22.5">
      <c r="A12" s="73" t="s">
        <v>99</v>
      </c>
      <c r="B12" s="73"/>
      <c r="C12" s="73"/>
      <c r="D12" s="73"/>
      <c r="E12" s="73"/>
      <c r="F12" s="73"/>
      <c r="G12" s="73"/>
      <c r="H12" s="73"/>
    </row>
    <row r="13" spans="1:8" ht="16.5" customHeight="1">
      <c r="A13" s="64"/>
      <c r="B13" s="64"/>
      <c r="C13" s="64"/>
      <c r="D13" s="64"/>
      <c r="E13" s="64"/>
      <c r="F13" s="64"/>
      <c r="G13" s="64"/>
      <c r="H13" s="64"/>
    </row>
    <row r="14" spans="1:8" s="35" customFormat="1" ht="54">
      <c r="A14" s="94" t="str">
        <f>A4</f>
        <v>№ п/п</v>
      </c>
      <c r="B14" s="95" t="str">
        <f>B4</f>
        <v>Найменування</v>
      </c>
      <c r="C14" s="34"/>
      <c r="D14" s="95" t="s">
        <v>100</v>
      </c>
      <c r="E14" s="95" t="str">
        <f>D4</f>
        <v>доля в загальному обсязі, %</v>
      </c>
      <c r="F14" s="104" t="s">
        <v>103</v>
      </c>
      <c r="G14" s="104"/>
      <c r="H14" s="105"/>
    </row>
    <row r="15" spans="1:8" ht="18">
      <c r="A15" s="57">
        <f aca="true" t="shared" si="0" ref="A15:B19">A5</f>
        <v>1</v>
      </c>
      <c r="B15" s="58" t="str">
        <f t="shared" si="0"/>
        <v>Товари для немовлят</v>
      </c>
      <c r="C15" s="27"/>
      <c r="D15" s="42">
        <f aca="true" t="shared" si="1" ref="D15:E20">G5</f>
        <v>12472.430800000004</v>
      </c>
      <c r="E15" s="59">
        <f t="shared" si="1"/>
        <v>24</v>
      </c>
      <c r="F15" s="74">
        <f>$F$20*E15/100</f>
        <v>10313.901903824782</v>
      </c>
      <c r="G15" s="74"/>
      <c r="H15" s="60"/>
    </row>
    <row r="16" spans="1:8" ht="18">
      <c r="A16" s="56">
        <f t="shared" si="0"/>
        <v>2</v>
      </c>
      <c r="B16" s="43" t="str">
        <f t="shared" si="0"/>
        <v>Товари для дітей від 6 міс до 2 років</v>
      </c>
      <c r="C16" s="25"/>
      <c r="D16" s="41">
        <f t="shared" si="1"/>
        <v>17352.947200000006</v>
      </c>
      <c r="E16" s="44">
        <f t="shared" si="1"/>
        <v>31</v>
      </c>
      <c r="F16" s="106">
        <f>$F$20*E16/100</f>
        <v>13322.123292440343</v>
      </c>
      <c r="G16" s="106"/>
      <c r="H16" s="61"/>
    </row>
    <row r="17" spans="1:8" ht="18">
      <c r="A17" s="57">
        <f t="shared" si="0"/>
        <v>3</v>
      </c>
      <c r="B17" s="58" t="str">
        <f t="shared" si="0"/>
        <v>Товари для дітей понад 2 роки</v>
      </c>
      <c r="C17" s="27"/>
      <c r="D17" s="42">
        <f t="shared" si="1"/>
        <v>8134.194000000002</v>
      </c>
      <c r="E17" s="59">
        <f t="shared" si="1"/>
        <v>16</v>
      </c>
      <c r="F17" s="74">
        <f>$F$20*E17/100</f>
        <v>6875.934602549855</v>
      </c>
      <c r="G17" s="74"/>
      <c r="H17" s="60"/>
    </row>
    <row r="18" spans="1:8" ht="18">
      <c r="A18" s="56">
        <f t="shared" si="0"/>
        <v>4</v>
      </c>
      <c r="B18" s="43" t="str">
        <f t="shared" si="0"/>
        <v>Товари для матерів, що годують</v>
      </c>
      <c r="C18" s="25"/>
      <c r="D18" s="41">
        <f t="shared" si="1"/>
        <v>9761.032800000003</v>
      </c>
      <c r="E18" s="44">
        <f t="shared" si="1"/>
        <v>16</v>
      </c>
      <c r="F18" s="106">
        <f>$F$20*E18/100</f>
        <v>6875.934602549855</v>
      </c>
      <c r="G18" s="106"/>
      <c r="H18" s="61"/>
    </row>
    <row r="19" spans="1:8" ht="18">
      <c r="A19" s="57">
        <f t="shared" si="0"/>
        <v>5</v>
      </c>
      <c r="B19" s="58" t="str">
        <f t="shared" si="0"/>
        <v>Інше</v>
      </c>
      <c r="C19" s="27"/>
      <c r="D19" s="42">
        <f t="shared" si="1"/>
        <v>6507.355200000002</v>
      </c>
      <c r="E19" s="59">
        <f t="shared" si="1"/>
        <v>13</v>
      </c>
      <c r="F19" s="74">
        <f>$F$20*E19/100</f>
        <v>5586.696864571758</v>
      </c>
      <c r="G19" s="74"/>
      <c r="H19" s="60"/>
    </row>
    <row r="20" spans="1:8" ht="18">
      <c r="A20" s="62"/>
      <c r="B20" s="45" t="str">
        <f>B10</f>
        <v>Всього:   </v>
      </c>
      <c r="C20" s="46"/>
      <c r="D20" s="47">
        <f t="shared" si="1"/>
        <v>54227.960000000014</v>
      </c>
      <c r="E20" s="48">
        <f t="shared" si="1"/>
        <v>100</v>
      </c>
      <c r="F20" s="103">
        <f>планування!K33</f>
        <v>42974.59126593659</v>
      </c>
      <c r="G20" s="103"/>
      <c r="H20" s="63"/>
    </row>
  </sheetData>
  <mergeCells count="9">
    <mergeCell ref="A2:H2"/>
    <mergeCell ref="A12:H12"/>
    <mergeCell ref="F15:G15"/>
    <mergeCell ref="F20:G20"/>
    <mergeCell ref="F14:H14"/>
    <mergeCell ref="F16:G16"/>
    <mergeCell ref="F17:G17"/>
    <mergeCell ref="F18:G18"/>
    <mergeCell ref="F19:G19"/>
  </mergeCells>
  <printOptions/>
  <pageMargins left="0.5905511811023623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E2"/>
    </sheetView>
  </sheetViews>
  <sheetFormatPr defaultColWidth="9.00390625" defaultRowHeight="12.75"/>
  <cols>
    <col min="1" max="1" width="12.00390625" style="9" bestFit="1" customWidth="1"/>
    <col min="2" max="2" width="19.875" style="9" customWidth="1"/>
    <col min="3" max="3" width="12.00390625" style="9" bestFit="1" customWidth="1"/>
    <col min="4" max="4" width="23.00390625" style="9" bestFit="1" customWidth="1"/>
    <col min="5" max="5" width="19.25390625" style="9" bestFit="1" customWidth="1"/>
    <col min="6" max="16384" width="26.25390625" style="9" customWidth="1"/>
  </cols>
  <sheetData>
    <row r="1" ht="18">
      <c r="E1" s="9" t="s">
        <v>180</v>
      </c>
    </row>
    <row r="2" spans="1:5" ht="50.25" customHeight="1">
      <c r="A2" s="107" t="s">
        <v>57</v>
      </c>
      <c r="B2" s="107"/>
      <c r="C2" s="107"/>
      <c r="D2" s="107"/>
      <c r="E2" s="107"/>
    </row>
    <row r="4" spans="1:5" ht="18">
      <c r="A4" s="10" t="s">
        <v>26</v>
      </c>
      <c r="B4" s="10" t="s">
        <v>49</v>
      </c>
      <c r="C4" s="10" t="s">
        <v>50</v>
      </c>
      <c r="D4" s="17"/>
      <c r="E4" s="18"/>
    </row>
    <row r="5" spans="1:5" s="13" customFormat="1" ht="18">
      <c r="A5" s="10"/>
      <c r="B5" s="10" t="s">
        <v>43</v>
      </c>
      <c r="C5" s="10" t="s">
        <v>44</v>
      </c>
      <c r="D5" s="11" t="s">
        <v>45</v>
      </c>
      <c r="E5" s="12" t="s">
        <v>46</v>
      </c>
    </row>
    <row r="6" spans="1:5" ht="18">
      <c r="A6" s="10">
        <v>1</v>
      </c>
      <c r="B6" s="19">
        <f>'додаток 1'!E24</f>
        <v>24271.8966</v>
      </c>
      <c r="C6" s="19">
        <f>'додаток 1'!G24</f>
        <v>17484.9067</v>
      </c>
      <c r="D6" s="19">
        <f>B6^2</f>
        <v>589124964.5610915</v>
      </c>
      <c r="E6" s="10">
        <f>B6*C6</f>
        <v>424391847.4830472</v>
      </c>
    </row>
    <row r="7" spans="1:5" ht="18">
      <c r="A7" s="10">
        <v>2</v>
      </c>
      <c r="B7" s="19">
        <f>'додаток 1'!E25</f>
        <v>29665.6514</v>
      </c>
      <c r="C7" s="19">
        <f>'додаток 1'!G25</f>
        <v>20669.422700000003</v>
      </c>
      <c r="D7" s="19">
        <f>B7^2</f>
        <v>880050872.9863219</v>
      </c>
      <c r="E7" s="10">
        <f>B7*C7</f>
        <v>613171888.4574468</v>
      </c>
    </row>
    <row r="8" spans="1:5" ht="18">
      <c r="A8" s="10">
        <v>3</v>
      </c>
      <c r="B8" s="19">
        <f>'додаток 1'!E26</f>
        <v>36407.844900000004</v>
      </c>
      <c r="C8" s="19">
        <f>'додаток 1'!G26</f>
        <v>22614.479550000004</v>
      </c>
      <c r="D8" s="19">
        <f>B8^2</f>
        <v>1325531170.2624562</v>
      </c>
      <c r="E8" s="10">
        <f>B8*C8</f>
        <v>823344463.950622</v>
      </c>
    </row>
    <row r="9" spans="1:5" ht="18">
      <c r="A9" s="10">
        <v>4</v>
      </c>
      <c r="B9" s="19">
        <f>'додаток 1'!E27</f>
        <v>49647.6871</v>
      </c>
      <c r="C9" s="19">
        <f>'додаток 1'!G27</f>
        <v>37299.973549999995</v>
      </c>
      <c r="D9" s="19">
        <f>B9^2</f>
        <v>2464892834.3795066</v>
      </c>
      <c r="E9" s="10">
        <f>B9*C9</f>
        <v>1851857415.6486762</v>
      </c>
    </row>
    <row r="10" spans="1:5" s="14" customFormat="1" ht="18">
      <c r="A10" s="20" t="s">
        <v>47</v>
      </c>
      <c r="B10" s="21">
        <f>SUM(B6:B9)</f>
        <v>139993.08000000002</v>
      </c>
      <c r="C10" s="21">
        <f>SUM(C6:C9)</f>
        <v>98068.7825</v>
      </c>
      <c r="D10" s="21">
        <f>SUM(D6:D9)</f>
        <v>5259599842.189377</v>
      </c>
      <c r="E10" s="21">
        <f>SUM(E6:E9)</f>
        <v>3712765615.539792</v>
      </c>
    </row>
    <row r="11" spans="2:5" s="14" customFormat="1" ht="18">
      <c r="B11" s="15"/>
      <c r="C11" s="15"/>
      <c r="D11" s="15"/>
      <c r="E11" s="15"/>
    </row>
    <row r="12" spans="2:5" s="14" customFormat="1" ht="20.25">
      <c r="B12" s="16" t="s">
        <v>51</v>
      </c>
      <c r="C12" s="15"/>
      <c r="D12" s="15"/>
      <c r="E12" s="36" t="s">
        <v>60</v>
      </c>
    </row>
    <row r="13" ht="15.75" customHeight="1"/>
    <row r="14" spans="1:4" s="35" customFormat="1" ht="26.25" customHeight="1">
      <c r="A14" s="37" t="s">
        <v>58</v>
      </c>
      <c r="B14" s="40">
        <f>(4*E10-B10*C10)/(4*D10-B10^2)</f>
        <v>0.7790618513447699</v>
      </c>
      <c r="C14" s="34"/>
      <c r="D14" s="34" t="s">
        <v>52</v>
      </c>
    </row>
    <row r="15" spans="1:4" s="35" customFormat="1" ht="26.25" customHeight="1">
      <c r="A15" s="38" t="s">
        <v>59</v>
      </c>
      <c r="B15" s="39">
        <f>(D10*C10-B10*E10)/(4*D10-B10^2)</f>
        <v>-2748.6213950641472</v>
      </c>
      <c r="D15" s="35" t="s">
        <v>53</v>
      </c>
    </row>
    <row r="17" spans="1:5" ht="18">
      <c r="A17" s="10" t="s">
        <v>43</v>
      </c>
      <c r="B17" s="10" t="s">
        <v>48</v>
      </c>
      <c r="C17" s="10" t="s">
        <v>44</v>
      </c>
      <c r="D17" s="10" t="s">
        <v>61</v>
      </c>
      <c r="E17" s="10" t="s">
        <v>54</v>
      </c>
    </row>
    <row r="18" spans="1:5" ht="18">
      <c r="A18" s="19">
        <f>B6</f>
        <v>24271.8966</v>
      </c>
      <c r="B18" s="10">
        <f>$B$14*A18+$B$15</f>
        <v>16160.68730578068</v>
      </c>
      <c r="C18" s="19">
        <f>C6</f>
        <v>17484.9067</v>
      </c>
      <c r="D18" s="19">
        <f>B18-C18</f>
        <v>-1324.219394219319</v>
      </c>
      <c r="E18" s="22">
        <f>D18/C18*100</f>
        <v>-7.573499915897858</v>
      </c>
    </row>
    <row r="19" spans="1:5" ht="18">
      <c r="A19" s="19">
        <f>B7</f>
        <v>29665.6514</v>
      </c>
      <c r="B19" s="10">
        <f>$B$14*A19+$B$15</f>
        <v>20362.755905968417</v>
      </c>
      <c r="C19" s="19">
        <f>C7</f>
        <v>20669.422700000003</v>
      </c>
      <c r="D19" s="19">
        <f>B19-C19</f>
        <v>-306.6667940315856</v>
      </c>
      <c r="E19" s="22">
        <f>D19/C19*100</f>
        <v>-1.4836737265602757</v>
      </c>
    </row>
    <row r="20" spans="1:5" ht="18">
      <c r="A20" s="19">
        <f>B8</f>
        <v>36407.844900000004</v>
      </c>
      <c r="B20" s="10">
        <f>$B$14*A20+$B$15</f>
        <v>25615.341656203094</v>
      </c>
      <c r="C20" s="19">
        <f>C8</f>
        <v>22614.479550000004</v>
      </c>
      <c r="D20" s="19">
        <f>B20-C20</f>
        <v>3000.8621062030907</v>
      </c>
      <c r="E20" s="22">
        <f>D20/C20*100</f>
        <v>13.269649206687536</v>
      </c>
    </row>
    <row r="21" spans="1:5" ht="18">
      <c r="A21" s="19">
        <f>B9</f>
        <v>49647.6871</v>
      </c>
      <c r="B21" s="10">
        <f>$B$14*A21+$B$15</f>
        <v>35929.99763204771</v>
      </c>
      <c r="C21" s="19">
        <f>C9</f>
        <v>37299.973549999995</v>
      </c>
      <c r="D21" s="19">
        <f>B21-C21</f>
        <v>-1369.975917952288</v>
      </c>
      <c r="E21" s="22">
        <f>D21/C21*100</f>
        <v>-3.67286029336149</v>
      </c>
    </row>
    <row r="24" spans="1:4" ht="18">
      <c r="A24" s="9" t="s">
        <v>65</v>
      </c>
      <c r="D24" s="96">
        <f>'додаток 1'!G20/'додаток 1'!E30*100</f>
        <v>54.150776471605525</v>
      </c>
    </row>
    <row r="25" spans="1:4" ht="18">
      <c r="A25" s="9" t="s">
        <v>66</v>
      </c>
      <c r="D25" s="97">
        <f>'додаток 1'!E30/'додаток 1'!E29</f>
        <v>0.7005259295673758</v>
      </c>
    </row>
    <row r="26" spans="1:4" ht="18">
      <c r="A26" s="9" t="s">
        <v>175</v>
      </c>
      <c r="D26" s="96">
        <f>'додаток 1'!G20/'додаток 1'!E38*100</f>
        <v>331.906295</v>
      </c>
    </row>
    <row r="27" spans="1:4" ht="18">
      <c r="A27" s="9" t="s">
        <v>174</v>
      </c>
      <c r="D27" s="96">
        <f>'додаток 1'!G20/'додаток 1'!E39*100</f>
        <v>531.050072</v>
      </c>
    </row>
    <row r="29" spans="2:3" ht="18">
      <c r="B29" s="98" t="s">
        <v>43</v>
      </c>
      <c r="C29" s="98" t="s">
        <v>44</v>
      </c>
    </row>
    <row r="30" spans="2:3" ht="18">
      <c r="B30" s="99">
        <f>A18</f>
        <v>24271.8966</v>
      </c>
      <c r="C30" s="99">
        <f>C18</f>
        <v>17484.9067</v>
      </c>
    </row>
    <row r="31" spans="2:3" ht="18">
      <c r="B31" s="99">
        <f>A19</f>
        <v>29665.6514</v>
      </c>
      <c r="C31" s="99">
        <f>C19</f>
        <v>20669.422700000003</v>
      </c>
    </row>
    <row r="32" spans="2:3" ht="18">
      <c r="B32" s="99">
        <f>A20</f>
        <v>36407.844900000004</v>
      </c>
      <c r="C32" s="99">
        <f>C20</f>
        <v>22614.479550000004</v>
      </c>
    </row>
    <row r="33" spans="2:3" ht="18">
      <c r="B33" s="99">
        <f>A21</f>
        <v>49647.6871</v>
      </c>
      <c r="C33" s="99">
        <f>C21</f>
        <v>37299.973549999995</v>
      </c>
    </row>
  </sheetData>
  <mergeCells count="1">
    <mergeCell ref="A2:E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8"/>
  <sheetViews>
    <sheetView workbookViewId="0" topLeftCell="O1">
      <selection activeCell="X16" sqref="X16"/>
    </sheetView>
  </sheetViews>
  <sheetFormatPr defaultColWidth="9.00390625" defaultRowHeight="12.75"/>
  <cols>
    <col min="1" max="1" width="5.625" style="67" customWidth="1"/>
    <col min="2" max="2" width="6.375" style="67" customWidth="1"/>
    <col min="3" max="3" width="1.625" style="67" customWidth="1"/>
    <col min="4" max="4" width="4.125" style="67" customWidth="1"/>
    <col min="5" max="5" width="1.75390625" style="67" customWidth="1"/>
    <col min="6" max="6" width="4.25390625" style="67" customWidth="1"/>
    <col min="7" max="7" width="1.75390625" style="67" customWidth="1"/>
    <col min="8" max="8" width="4.25390625" style="67" customWidth="1"/>
    <col min="9" max="9" width="1.75390625" style="67" customWidth="1"/>
    <col min="10" max="10" width="4.25390625" style="67" customWidth="1"/>
    <col min="11" max="11" width="1.75390625" style="67" customWidth="1"/>
    <col min="12" max="12" width="4.375" style="67" customWidth="1"/>
    <col min="13" max="13" width="1.75390625" style="67" customWidth="1"/>
    <col min="14" max="14" width="7.00390625" style="67" customWidth="1"/>
    <col min="15" max="15" width="1.75390625" style="67" customWidth="1"/>
    <col min="16" max="16" width="7.25390625" style="67" customWidth="1"/>
    <col min="17" max="17" width="1.75390625" style="67" customWidth="1"/>
    <col min="18" max="18" width="4.75390625" style="67" customWidth="1"/>
    <col min="19" max="19" width="1.75390625" style="67" customWidth="1"/>
    <col min="20" max="20" width="6.625" style="67" customWidth="1"/>
    <col min="21" max="21" width="1.75390625" style="67" customWidth="1"/>
    <col min="22" max="22" width="4.75390625" style="67" customWidth="1"/>
    <col min="23" max="23" width="1.75390625" style="67" customWidth="1"/>
    <col min="24" max="24" width="4.625" style="67" customWidth="1"/>
    <col min="25" max="25" width="1.75390625" style="67" customWidth="1"/>
    <col min="26" max="26" width="4.75390625" style="67" customWidth="1"/>
    <col min="27" max="27" width="1.75390625" style="67" customWidth="1"/>
    <col min="28" max="28" width="5.00390625" style="67" customWidth="1"/>
    <col min="29" max="29" width="1.75390625" style="67" customWidth="1"/>
    <col min="30" max="30" width="4.75390625" style="67" customWidth="1"/>
    <col min="31" max="31" width="1.75390625" style="67" customWidth="1"/>
    <col min="32" max="32" width="6.125" style="67" customWidth="1"/>
    <col min="33" max="33" width="1.75390625" style="67" customWidth="1"/>
    <col min="34" max="34" width="5.25390625" style="67" customWidth="1"/>
    <col min="35" max="35" width="1.75390625" style="67" customWidth="1"/>
    <col min="36" max="36" width="5.375" style="67" customWidth="1"/>
    <col min="37" max="37" width="1.75390625" style="67" customWidth="1"/>
    <col min="38" max="38" width="5.125" style="67" customWidth="1"/>
    <col min="39" max="39" width="1.75390625" style="67" customWidth="1"/>
    <col min="40" max="40" width="4.75390625" style="67" customWidth="1"/>
    <col min="41" max="16384" width="9.125" style="67" customWidth="1"/>
  </cols>
  <sheetData>
    <row r="1" spans="1:55" ht="18" customHeight="1">
      <c r="A1" s="117" t="s">
        <v>106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</row>
    <row r="2" spans="1:40" ht="16.5" customHeight="1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</row>
    <row r="3" spans="1:40" ht="16.5" customHeight="1">
      <c r="A3" s="117" t="s">
        <v>108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0" ht="8.2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39" ht="12.75" customHeight="1">
      <c r="A5" s="108" t="s">
        <v>109</v>
      </c>
      <c r="B5" s="109"/>
      <c r="C5" s="109"/>
      <c r="D5" s="109"/>
      <c r="E5" s="109"/>
      <c r="F5" s="109"/>
      <c r="G5" s="109"/>
      <c r="H5" s="109"/>
      <c r="I5" s="110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68"/>
    </row>
    <row r="6" spans="1:39" ht="12.75" customHeight="1" thickBot="1">
      <c r="A6" s="111"/>
      <c r="B6" s="112"/>
      <c r="C6" s="112"/>
      <c r="D6" s="112"/>
      <c r="E6" s="112"/>
      <c r="F6" s="112"/>
      <c r="G6" s="112"/>
      <c r="H6" s="112"/>
      <c r="I6" s="113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68"/>
    </row>
    <row r="7" ht="9" customHeight="1" thickBot="1"/>
    <row r="8" spans="11:20" ht="23.25" thickBot="1">
      <c r="K8" s="69"/>
      <c r="L8" s="69"/>
      <c r="M8" s="69"/>
      <c r="N8" s="114" t="s">
        <v>110</v>
      </c>
      <c r="O8" s="115"/>
      <c r="P8" s="115"/>
      <c r="Q8" s="115"/>
      <c r="R8" s="115"/>
      <c r="S8" s="115"/>
      <c r="T8" s="116"/>
    </row>
    <row r="9" spans="10:20" ht="8.25" customHeight="1"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ht="5.25" customHeight="1" thickBot="1"/>
    <row r="11" spans="16:26" ht="12.75">
      <c r="P11" s="108" t="s">
        <v>111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10"/>
    </row>
    <row r="12" spans="16:26" ht="12" customHeight="1" thickBot="1"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3"/>
    </row>
    <row r="13" ht="14.25" customHeight="1"/>
    <row r="14" spans="2:38" s="70" customFormat="1" ht="115.5" customHeight="1">
      <c r="B14" s="71" t="s">
        <v>112</v>
      </c>
      <c r="D14" s="71" t="s">
        <v>113</v>
      </c>
      <c r="F14" s="71" t="s">
        <v>114</v>
      </c>
      <c r="H14" s="71" t="s">
        <v>115</v>
      </c>
      <c r="J14" s="71" t="s">
        <v>116</v>
      </c>
      <c r="L14" s="71" t="s">
        <v>117</v>
      </c>
      <c r="N14" s="71" t="s">
        <v>118</v>
      </c>
      <c r="P14" s="71" t="s">
        <v>119</v>
      </c>
      <c r="R14" s="71" t="s">
        <v>120</v>
      </c>
      <c r="T14" s="71" t="s">
        <v>121</v>
      </c>
      <c r="V14" s="71" t="s">
        <v>122</v>
      </c>
      <c r="X14" s="71" t="s">
        <v>123</v>
      </c>
      <c r="Z14" s="71" t="s">
        <v>124</v>
      </c>
      <c r="AB14" s="71" t="s">
        <v>125</v>
      </c>
      <c r="AD14" s="71" t="s">
        <v>126</v>
      </c>
      <c r="AF14" s="71" t="s">
        <v>127</v>
      </c>
      <c r="AH14" s="71" t="s">
        <v>128</v>
      </c>
      <c r="AJ14" s="71" t="s">
        <v>129</v>
      </c>
      <c r="AL14" s="71" t="s">
        <v>130</v>
      </c>
    </row>
    <row r="15" s="75" customFormat="1" ht="10.5" customHeight="1"/>
    <row r="16" spans="2:38" s="70" customFormat="1" ht="120.75" customHeight="1">
      <c r="B16" s="71" t="s">
        <v>131</v>
      </c>
      <c r="D16" s="71" t="s">
        <v>132</v>
      </c>
      <c r="F16" s="71" t="s">
        <v>133</v>
      </c>
      <c r="H16" s="71" t="s">
        <v>134</v>
      </c>
      <c r="J16" s="71" t="s">
        <v>135</v>
      </c>
      <c r="L16" s="71" t="s">
        <v>136</v>
      </c>
      <c r="N16" s="71" t="s">
        <v>137</v>
      </c>
      <c r="P16" s="71" t="s">
        <v>138</v>
      </c>
      <c r="R16" s="71" t="s">
        <v>139</v>
      </c>
      <c r="S16" s="76"/>
      <c r="T16" s="71" t="s">
        <v>140</v>
      </c>
      <c r="V16" s="71" t="s">
        <v>141</v>
      </c>
      <c r="X16" s="71" t="s">
        <v>142</v>
      </c>
      <c r="Z16" s="71" t="s">
        <v>143</v>
      </c>
      <c r="AB16" s="71" t="s">
        <v>144</v>
      </c>
      <c r="AD16" s="71" t="s">
        <v>145</v>
      </c>
      <c r="AF16" s="71" t="s">
        <v>146</v>
      </c>
      <c r="AH16" s="71" t="s">
        <v>147</v>
      </c>
      <c r="AJ16" s="71" t="s">
        <v>148</v>
      </c>
      <c r="AL16" s="71" t="s">
        <v>149</v>
      </c>
    </row>
    <row r="17" s="75" customFormat="1" ht="11.25" customHeight="1"/>
    <row r="18" spans="2:38" s="70" customFormat="1" ht="115.5" customHeight="1">
      <c r="B18" s="71" t="s">
        <v>150</v>
      </c>
      <c r="D18" s="71" t="s">
        <v>151</v>
      </c>
      <c r="F18" s="71" t="s">
        <v>152</v>
      </c>
      <c r="H18" s="71" t="s">
        <v>153</v>
      </c>
      <c r="J18" s="71" t="s">
        <v>154</v>
      </c>
      <c r="L18" s="71" t="s">
        <v>155</v>
      </c>
      <c r="N18" s="71" t="s">
        <v>156</v>
      </c>
      <c r="P18" s="71" t="s">
        <v>157</v>
      </c>
      <c r="R18" s="71" t="s">
        <v>158</v>
      </c>
      <c r="T18" s="71" t="s">
        <v>159</v>
      </c>
      <c r="V18" s="71" t="s">
        <v>160</v>
      </c>
      <c r="X18" s="71" t="s">
        <v>161</v>
      </c>
      <c r="Z18" s="71" t="s">
        <v>162</v>
      </c>
      <c r="AB18" s="71" t="s">
        <v>163</v>
      </c>
      <c r="AD18" s="71" t="s">
        <v>164</v>
      </c>
      <c r="AF18" s="71" t="s">
        <v>165</v>
      </c>
      <c r="AH18" s="71" t="s">
        <v>166</v>
      </c>
      <c r="AJ18" s="71" t="s">
        <v>167</v>
      </c>
      <c r="AL18" s="71" t="s">
        <v>168</v>
      </c>
    </row>
  </sheetData>
  <mergeCells count="7">
    <mergeCell ref="P11:Z12"/>
    <mergeCell ref="N8:T8"/>
    <mergeCell ref="A2:AN2"/>
    <mergeCell ref="A1:AN1"/>
    <mergeCell ref="A3:AN3"/>
    <mergeCell ref="A5:I6"/>
    <mergeCell ref="X5:AL6"/>
  </mergeCells>
  <printOptions/>
  <pageMargins left="0.3937007874015748" right="0.3937007874015748" top="0.3937007874015748" bottom="0.1968503937007874" header="0.1968503937007874" footer="0"/>
  <pageSetup horizontalDpi="120" verticalDpi="120" orientation="landscape" paperSize="9" r:id="rId2"/>
  <headerFooter alignWithMargins="0">
    <oddHeader>&amp;R&amp;14Додаток 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">
      <selection activeCell="F8" sqref="F8"/>
    </sheetView>
  </sheetViews>
  <sheetFormatPr defaultColWidth="9.00390625" defaultRowHeight="12.75"/>
  <cols>
    <col min="1" max="1" width="11.00390625" style="121" customWidth="1"/>
    <col min="2" max="4" width="9.125" style="121" customWidth="1"/>
    <col min="5" max="5" width="12.125" style="121" customWidth="1"/>
    <col min="6" max="6" width="11.00390625" style="121" bestFit="1" customWidth="1"/>
    <col min="7" max="8" width="9.125" style="121" customWidth="1"/>
    <col min="9" max="9" width="13.625" style="121" bestFit="1" customWidth="1"/>
    <col min="10" max="10" width="9.125" style="121" customWidth="1"/>
    <col min="11" max="11" width="9.625" style="121" bestFit="1" customWidth="1"/>
    <col min="12" max="16384" width="9.125" style="121" customWidth="1"/>
  </cols>
  <sheetData>
    <row r="3" spans="4:5" ht="25.5">
      <c r="D3" s="122" t="s">
        <v>50</v>
      </c>
      <c r="E3" s="123" t="s">
        <v>71</v>
      </c>
    </row>
    <row r="4" spans="1:9" ht="12.75">
      <c r="A4" s="121" t="s">
        <v>70</v>
      </c>
      <c r="D4" s="124">
        <f>0.5*(2*H17+H16-H14)</f>
        <v>0.7016764912412292</v>
      </c>
      <c r="E4" s="125"/>
      <c r="H4" s="126">
        <f>B14</f>
        <v>17484.9067</v>
      </c>
      <c r="I4" s="121">
        <f>(H4-$H$9)^2</f>
        <v>49453087.524677664</v>
      </c>
    </row>
    <row r="5" spans="2:9" ht="12.75">
      <c r="B5" s="121" t="s">
        <v>88</v>
      </c>
      <c r="C5" s="127">
        <f>D5/E19</f>
        <v>63.15088421171063</v>
      </c>
      <c r="D5" s="128">
        <f>D4*E18</f>
        <v>42152.304007910236</v>
      </c>
      <c r="E5" s="129">
        <f>D5/B17*100-100</f>
        <v>13.00893806641919</v>
      </c>
      <c r="H5" s="126">
        <f>B15</f>
        <v>20669.422700000003</v>
      </c>
      <c r="I5" s="121">
        <f>(H5-$H$9)^2</f>
        <v>14805356.482363036</v>
      </c>
    </row>
    <row r="6" spans="1:9" ht="12.75">
      <c r="A6" s="121" t="s">
        <v>75</v>
      </c>
      <c r="C6" s="127">
        <f>D6/E19</f>
        <v>65.99769274564271</v>
      </c>
      <c r="D6" s="128">
        <f>'додаток 6'!B14*планування!E18+'додаток 6'!B15</f>
        <v>44052.50762774119</v>
      </c>
      <c r="E6" s="129">
        <f>D6/B17*100-100</f>
        <v>18.10332135675523</v>
      </c>
      <c r="H6" s="126">
        <f>B16</f>
        <v>22614.479550000004</v>
      </c>
      <c r="I6" s="121">
        <f>(H6-$H$9)^2</f>
        <v>3620328.4620633926</v>
      </c>
    </row>
    <row r="7" spans="1:9" ht="12.75">
      <c r="A7" s="121" t="s">
        <v>76</v>
      </c>
      <c r="D7" s="126">
        <f>(2*E18*G22/G21)^0.5</f>
        <v>274.0294267752097</v>
      </c>
      <c r="E7" s="129"/>
      <c r="H7" s="126">
        <f>B17</f>
        <v>37299.973549999995</v>
      </c>
      <c r="I7" s="121">
        <f>(H7-$H$9)^2</f>
        <v>163399411.47986716</v>
      </c>
    </row>
    <row r="8" spans="1:9" ht="12.75">
      <c r="A8" s="121" t="s">
        <v>77</v>
      </c>
      <c r="D8" s="126">
        <f>(2*D22/((планування!E18/90)*(планування!D21/планування!B18/90)))^0.5</f>
        <v>84.0301787782715</v>
      </c>
      <c r="E8" s="129"/>
      <c r="I8" s="121">
        <f>SUM(I4:I7)</f>
        <v>231278183.94897127</v>
      </c>
    </row>
    <row r="9" spans="1:8" ht="12.75">
      <c r="A9" s="121" t="s">
        <v>78</v>
      </c>
      <c r="D9" s="121">
        <f>((D21/B18/90)/(2*D22))^0.5</f>
        <v>0.0004606210399045448</v>
      </c>
      <c r="H9" s="126">
        <f>AVERAGE(H4:H7)</f>
        <v>24517.195625</v>
      </c>
    </row>
    <row r="10" spans="4:9" ht="12.75">
      <c r="D10" s="121">
        <f>1/(E18^0.5)</f>
        <v>0.004079977839996849</v>
      </c>
      <c r="G10" s="121" t="s">
        <v>79</v>
      </c>
      <c r="I10" s="126">
        <f>SQRT(I8)/4</f>
        <v>3801.958245011471</v>
      </c>
    </row>
    <row r="11" spans="7:9" ht="12.75">
      <c r="G11" s="121" t="s">
        <v>80</v>
      </c>
      <c r="I11" s="126">
        <f>I10*2</f>
        <v>7603.916490022942</v>
      </c>
    </row>
    <row r="12" ht="12.75">
      <c r="A12" s="121" t="s">
        <v>176</v>
      </c>
    </row>
    <row r="13" spans="2:8" ht="12.75">
      <c r="B13" s="121" t="s">
        <v>50</v>
      </c>
      <c r="E13" s="121" t="s">
        <v>73</v>
      </c>
      <c r="H13" s="121" t="s">
        <v>74</v>
      </c>
    </row>
    <row r="14" spans="1:8" ht="12.75">
      <c r="A14" s="121">
        <v>1</v>
      </c>
      <c r="B14" s="126">
        <f>'додаток 1'!G24</f>
        <v>17484.9067</v>
      </c>
      <c r="C14" s="130">
        <f>'додаток 1'!H24</f>
        <v>1</v>
      </c>
      <c r="E14" s="126">
        <f>'додаток 1'!E24</f>
        <v>24271.8966</v>
      </c>
      <c r="F14" s="130">
        <f>'додаток 1'!F24</f>
        <v>1</v>
      </c>
      <c r="H14" s="130">
        <f>B14/E14</f>
        <v>0.7203766144916751</v>
      </c>
    </row>
    <row r="15" spans="1:8" ht="12.75">
      <c r="A15" s="121">
        <v>2</v>
      </c>
      <c r="B15" s="126">
        <f>'додаток 1'!G25</f>
        <v>20669.422700000003</v>
      </c>
      <c r="C15" s="130">
        <f>'додаток 1'!H25</f>
        <v>1.1821294248027072</v>
      </c>
      <c r="E15" s="126">
        <f>'додаток 1'!E25</f>
        <v>29665.6514</v>
      </c>
      <c r="F15" s="130">
        <f>'додаток 1'!F25</f>
        <v>1.222222222222222</v>
      </c>
      <c r="H15" s="130">
        <f>B15/E15</f>
        <v>0.6967459578521172</v>
      </c>
    </row>
    <row r="16" spans="1:8" ht="12.75">
      <c r="A16" s="121">
        <v>3</v>
      </c>
      <c r="B16" s="126">
        <f>'додаток 1'!G26</f>
        <v>22614.479550000004</v>
      </c>
      <c r="C16" s="130">
        <f>'додаток 1'!H26</f>
        <v>1.0941031047761194</v>
      </c>
      <c r="E16" s="126">
        <f>'додаток 1'!E26</f>
        <v>36407.844900000004</v>
      </c>
      <c r="F16" s="130">
        <f>'додаток 1'!F26</f>
        <v>1.2272727272727275</v>
      </c>
      <c r="H16" s="130">
        <f>B16/E16</f>
        <v>0.6211430424435807</v>
      </c>
    </row>
    <row r="17" spans="1:8" ht="12.75">
      <c r="A17" s="121">
        <v>4</v>
      </c>
      <c r="B17" s="126">
        <f>'додаток 1'!G27</f>
        <v>37299.973549999995</v>
      </c>
      <c r="C17" s="130">
        <f>'додаток 1'!H27</f>
        <v>1.649384566535381</v>
      </c>
      <c r="E17" s="126">
        <f>'додаток 1'!E27</f>
        <v>49647.6871</v>
      </c>
      <c r="F17" s="130">
        <f>'додаток 1'!F27</f>
        <v>1.3636535542371528</v>
      </c>
      <c r="H17" s="130">
        <f>B17/E17</f>
        <v>0.7512932772652765</v>
      </c>
    </row>
    <row r="18" spans="1:8" ht="12.75">
      <c r="A18" s="121" t="s">
        <v>72</v>
      </c>
      <c r="B18" s="128">
        <f>E18*H18</f>
        <v>41894.78197344492</v>
      </c>
      <c r="C18" s="130">
        <f>B18/B17</f>
        <v>1.1231852997773755</v>
      </c>
      <c r="E18" s="126">
        <f>E17*F18</f>
        <v>60073.701391</v>
      </c>
      <c r="F18" s="130">
        <v>1.21</v>
      </c>
      <c r="H18" s="130">
        <f>AVERAGE(H14:H17)</f>
        <v>0.6973897230131624</v>
      </c>
    </row>
    <row r="19" spans="1:5" ht="12.75">
      <c r="A19" s="121" t="s">
        <v>90</v>
      </c>
      <c r="B19" s="127">
        <f>B18/E19</f>
        <v>62.76507507118462</v>
      </c>
      <c r="D19" s="121" t="s">
        <v>89</v>
      </c>
      <c r="E19" s="126">
        <f>E18/90</f>
        <v>667.4855710111111</v>
      </c>
    </row>
    <row r="21" spans="4:7" ht="12.75">
      <c r="D21" s="121">
        <f>'додаток 1'!E38</f>
        <v>4000</v>
      </c>
      <c r="G21" s="130">
        <f>D21/$E$18</f>
        <v>0.06658487669946143</v>
      </c>
    </row>
    <row r="22" spans="4:7" ht="12.75">
      <c r="D22" s="121">
        <f>'додаток 1'!E39</f>
        <v>2500</v>
      </c>
      <c r="G22" s="130">
        <f>D22/$E$18</f>
        <v>0.0416155479371634</v>
      </c>
    </row>
    <row r="23" spans="1:2" ht="12.75">
      <c r="A23" s="121" t="s">
        <v>81</v>
      </c>
      <c r="B23" s="121" t="s">
        <v>82</v>
      </c>
    </row>
    <row r="24" spans="1:2" ht="12.75">
      <c r="A24" s="126">
        <f>2*B18-'додаток 1'!I28</f>
        <v>29561.60394688983</v>
      </c>
      <c r="B24" s="126">
        <f>A24-'додаток 1'!I28+планування!E18</f>
        <v>35407.34533788982</v>
      </c>
    </row>
    <row r="25" ht="12.75">
      <c r="C25" s="121">
        <f>(A24+'додаток 1'!I28)/2</f>
        <v>41894.78197344492</v>
      </c>
    </row>
    <row r="26" spans="5:7" ht="12.75">
      <c r="E26" s="121" t="s">
        <v>83</v>
      </c>
      <c r="G26" s="126">
        <f>B24+E18+A24-'додаток 1'!I28</f>
        <v>70814.69067577962</v>
      </c>
    </row>
    <row r="28" spans="3:10" ht="12.75">
      <c r="C28" s="131" t="s">
        <v>84</v>
      </c>
      <c r="I28" s="121" t="s">
        <v>91</v>
      </c>
      <c r="J28" s="121" t="s">
        <v>96</v>
      </c>
    </row>
    <row r="29" spans="2:11" ht="12.75">
      <c r="B29" s="132">
        <v>1</v>
      </c>
      <c r="D29" s="132"/>
      <c r="E29" s="133" t="s">
        <v>86</v>
      </c>
      <c r="H29" s="121" t="s">
        <v>95</v>
      </c>
      <c r="I29" s="126">
        <f>D5</f>
        <v>42152.304007910236</v>
      </c>
      <c r="J29" s="121">
        <v>1</v>
      </c>
      <c r="K29" s="126">
        <f>I29*J29</f>
        <v>42152.304007910236</v>
      </c>
    </row>
    <row r="30" spans="1:11" ht="12.75">
      <c r="A30" s="134"/>
      <c r="B30" s="135">
        <v>2</v>
      </c>
      <c r="C30" s="136">
        <f>((B15-B14)/(E15-E14))*(E14/B14)</f>
        <v>0.819582411612183</v>
      </c>
      <c r="D30" s="135"/>
      <c r="E30" s="137">
        <f>((F18-1)*C33+1)*B17</f>
        <v>43928.47893722622</v>
      </c>
      <c r="F30" s="121" t="s">
        <v>87</v>
      </c>
      <c r="H30" s="121" t="s">
        <v>94</v>
      </c>
      <c r="I30" s="126">
        <f>D6</f>
        <v>44052.50762774119</v>
      </c>
      <c r="J30" s="121">
        <v>3</v>
      </c>
      <c r="K30" s="126">
        <f>I30*J30</f>
        <v>132157.52288322357</v>
      </c>
    </row>
    <row r="31" spans="1:11" ht="12.75">
      <c r="A31" s="134"/>
      <c r="B31" s="135">
        <v>3</v>
      </c>
      <c r="C31" s="138">
        <f>((B16-B15)/(E16-E15))*(E15/B15)</f>
        <v>0.414053661014925</v>
      </c>
      <c r="D31" s="135"/>
      <c r="E31" s="139">
        <f>E30/E19</f>
        <v>65.81187795667717</v>
      </c>
      <c r="F31" s="121" t="s">
        <v>88</v>
      </c>
      <c r="H31" s="121" t="s">
        <v>93</v>
      </c>
      <c r="I31" s="126">
        <f>B18</f>
        <v>41894.78197344492</v>
      </c>
      <c r="J31" s="121">
        <v>4</v>
      </c>
      <c r="K31" s="126">
        <f>I31*J31</f>
        <v>167579.1278937797</v>
      </c>
    </row>
    <row r="32" spans="1:11" ht="12.75">
      <c r="A32" s="134"/>
      <c r="B32" s="135">
        <v>4</v>
      </c>
      <c r="C32" s="138">
        <f>((B17-B16)/(E17-E16))*(E16/B16)</f>
        <v>1.7857231394248707</v>
      </c>
      <c r="D32" s="135"/>
      <c r="E32" s="140"/>
      <c r="H32" s="121" t="s">
        <v>92</v>
      </c>
      <c r="I32" s="126">
        <f>E30</f>
        <v>43928.47893722622</v>
      </c>
      <c r="J32" s="121">
        <v>2</v>
      </c>
      <c r="K32" s="126">
        <f>I32*J32</f>
        <v>87856.95787445243</v>
      </c>
    </row>
    <row r="33" spans="1:11" ht="12.75">
      <c r="A33" s="141"/>
      <c r="B33" s="142" t="s">
        <v>85</v>
      </c>
      <c r="C33" s="138">
        <f>GEOMEAN(C30:C32)</f>
        <v>0.8462287868765509</v>
      </c>
      <c r="D33" s="143"/>
      <c r="E33" s="144">
        <f>21*C33</f>
        <v>17.77080452440757</v>
      </c>
      <c r="J33" s="121" t="s">
        <v>87</v>
      </c>
      <c r="K33" s="145">
        <f>SUM(K29:K32)/10</f>
        <v>42974.59126593659</v>
      </c>
    </row>
    <row r="34" spans="10:11" ht="12.75">
      <c r="J34" s="121" t="s">
        <v>88</v>
      </c>
      <c r="K34" s="146">
        <f>K33/E19</f>
        <v>64.38280186467316</v>
      </c>
    </row>
    <row r="35" spans="10:11" ht="12.75">
      <c r="J35" s="121" t="s">
        <v>97</v>
      </c>
      <c r="K35" s="129">
        <f>K33/B17*100-100</f>
        <v>15.21346310964502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Страшный Роджер (Кровавый)</dc:creator>
  <cp:keywords/>
  <dc:description/>
  <cp:lastModifiedBy>Кул</cp:lastModifiedBy>
  <cp:lastPrinted>1998-12-07T17:34:23Z</cp:lastPrinted>
  <dcterms:created xsi:type="dcterms:W3CDTF">1998-10-12T07:44:47Z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