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'Лист1'!$A:$IV</definedName>
  </definedNames>
  <calcPr fullCalcOnLoad="1"/>
</workbook>
</file>

<file path=xl/sharedStrings.xml><?xml version="1.0" encoding="utf-8"?>
<sst xmlns="http://schemas.openxmlformats.org/spreadsheetml/2006/main" count="190" uniqueCount="177">
  <si>
    <t>Расчетная часть</t>
  </si>
  <si>
    <t>рельсо-балочного стана 800</t>
  </si>
  <si>
    <t>Теоретические данные</t>
  </si>
  <si>
    <t>Фактические данные</t>
  </si>
  <si>
    <t>Производительность, т</t>
  </si>
  <si>
    <t>сутки</t>
  </si>
  <si>
    <t>час</t>
  </si>
  <si>
    <t>время работы стана в год,ч</t>
  </si>
  <si>
    <t>Брак по прокату, %</t>
  </si>
  <si>
    <t>Расходный коэфф.</t>
  </si>
  <si>
    <t>Производство проката в год, тыс.т</t>
  </si>
  <si>
    <t>выход 1 сорта, %</t>
  </si>
  <si>
    <t xml:space="preserve">1. Стан работает в 2/3 своей мощности. Основная причина этого - узкое место стана - </t>
  </si>
  <si>
    <t>Основной покупатель рельсов - МПС (300-400 тыс. т/год), остальное продается через</t>
  </si>
  <si>
    <t>Анализируя эти данные и предыдущий материал, можно сделать выводы:</t>
  </si>
  <si>
    <t>4. Необходимо использовать надбавки к ценам (за размеры и качество).</t>
  </si>
  <si>
    <t>Проведем соответствующие расчеты:</t>
  </si>
  <si>
    <t>Второй вид приплат - приплаты за малотоннажность партий</t>
  </si>
  <si>
    <t>Пример</t>
  </si>
  <si>
    <t>Минимальная масса, т</t>
  </si>
  <si>
    <t>Приплаты, дол./т</t>
  </si>
  <si>
    <t xml:space="preserve"> 25-10</t>
  </si>
  <si>
    <t xml:space="preserve"> 10-5</t>
  </si>
  <si>
    <t xml:space="preserve"> 5-3</t>
  </si>
  <si>
    <t>База</t>
  </si>
  <si>
    <t>Заказы не принимаются</t>
  </si>
  <si>
    <t>1. Сталь обыкновенного качества</t>
  </si>
  <si>
    <t>2. Сталь улучшенного качества</t>
  </si>
  <si>
    <t>3. Сталь специального назначения</t>
  </si>
  <si>
    <t>Рассматриваемые приплаты составляют:</t>
  </si>
  <si>
    <t>Отечественный аналог</t>
  </si>
  <si>
    <t>Приплата, долл/т</t>
  </si>
  <si>
    <t>марки стали ФРГ</t>
  </si>
  <si>
    <t>Ст.2 кп</t>
  </si>
  <si>
    <t>Ст.2 сп</t>
  </si>
  <si>
    <t>Ст. 3кп</t>
  </si>
  <si>
    <t>Ст. 3сп</t>
  </si>
  <si>
    <t>Ст. 4кп</t>
  </si>
  <si>
    <t>Ст. 4сп</t>
  </si>
  <si>
    <t>Ст. 5сп</t>
  </si>
  <si>
    <t>Ст. 6сп</t>
  </si>
  <si>
    <t>долл/т</t>
  </si>
  <si>
    <t xml:space="preserve">методические печи, то есть для повышения производительности необходимо провести </t>
  </si>
  <si>
    <t>реконструкцию и установить дополнительную печь.</t>
  </si>
  <si>
    <t xml:space="preserve">2. Производство проката равно 700 тыс. т, при возможностях - 1275,2 тыс. т. </t>
  </si>
  <si>
    <t>Причина - нехватка покупателей.</t>
  </si>
  <si>
    <t xml:space="preserve">"Торговый дом", причем 30 % идет на экспорт в Азиатские страны и часть проката </t>
  </si>
  <si>
    <t xml:space="preserve">идет по бартеру за оплату услуг (оборудование, электроэнергия, </t>
  </si>
  <si>
    <t>проектно-конструкторские работы и т. д.)</t>
  </si>
  <si>
    <t xml:space="preserve">3. Стан, кроме рельсов катает крупный сорт (балка, швеллер, уголок) и квадрат. </t>
  </si>
  <si>
    <t xml:space="preserve">Данный прокат пользуется большим спросом в строительстве, и, увеличивая </t>
  </si>
  <si>
    <t>сортамент, можно было бы увеличить и количество заказов.</t>
  </si>
  <si>
    <t xml:space="preserve">Это позволит, с одной стороны увеличить сортамент без больших дополнительных </t>
  </si>
  <si>
    <t>затрат и увеличить количество заказов и, с другой стороны, повысится прибыль.</t>
  </si>
  <si>
    <t xml:space="preserve">4. Существует много различных видов приплат к цене продукции. Проанализируем </t>
  </si>
  <si>
    <t>основные из них.</t>
  </si>
  <si>
    <t xml:space="preserve">Наиболее распространены приплаты за размеры проката (длину, толщину, ширину и </t>
  </si>
  <si>
    <t xml:space="preserve">т. д), что особо широко применяется при производстве балок, уголков и швеллеров. </t>
  </si>
  <si>
    <t xml:space="preserve">Это связано с ростомстроительства в России, то есть с повышение спроса на эту </t>
  </si>
  <si>
    <t>продукцию.</t>
  </si>
  <si>
    <t xml:space="preserve">Этот вид приплат распростанен при заказах, поступающих от небольших </t>
  </si>
  <si>
    <t>предприятий или при единовременных нуждах различных фирм.</t>
  </si>
  <si>
    <t xml:space="preserve">своему назначению на три группы. </t>
  </si>
  <si>
    <t xml:space="preserve">То есть средняя приплата за качество составляет (очень приблизительно, так как </t>
  </si>
  <si>
    <t>неизвестен удельный вес выпуска каждой марки стали)</t>
  </si>
  <si>
    <t xml:space="preserve">Примерный уровень приплат за соблюдение качественных характеристик </t>
  </si>
  <si>
    <t>составляет (долл/т)</t>
  </si>
  <si>
    <t>Временное сопротивление</t>
  </si>
  <si>
    <t>Относительное удлинение</t>
  </si>
  <si>
    <t>Загиб</t>
  </si>
  <si>
    <t>микроструктура</t>
  </si>
  <si>
    <t>Вязкость при температуре</t>
  </si>
  <si>
    <t>Твердость</t>
  </si>
  <si>
    <r>
      <t>20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</si>
  <si>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r>
      <t>0+(-60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С)</t>
    </r>
  </si>
  <si>
    <t xml:space="preserve"> 7-40</t>
  </si>
  <si>
    <t>Механизм установления цены сводится к следующему.</t>
  </si>
  <si>
    <t>В процессе торговой операции договариваются о базовой цене Цо. При назначении</t>
  </si>
  <si>
    <t xml:space="preserve">этой цены продавец обычно исходит из модели усредненной стоимости, учитывая </t>
  </si>
  <si>
    <t>себестоимость продукции и задаваясь ее рентабельностью. Далее</t>
  </si>
  <si>
    <t>к базовой цене добавляются приплаты за дополнительное требование к продукции.</t>
  </si>
  <si>
    <t xml:space="preserve">Таким образом, если принять среднюю приплату равной 8-12 долл, получаем </t>
  </si>
  <si>
    <t>следующие данные:</t>
  </si>
  <si>
    <t>Объем продаж с приплатой, % к общему объему</t>
  </si>
  <si>
    <t>Дополнительная прибыль, полученная с помощью приплат</t>
  </si>
  <si>
    <t>Средняя стоимость приплат, долл</t>
  </si>
  <si>
    <t>по рельсобалочному стану 800, тыс. долл./год</t>
  </si>
  <si>
    <t>Причем это прибыль только для продукции одного стана.</t>
  </si>
  <si>
    <t xml:space="preserve">Можно сделать вывод, что применение приплат за качество и размер </t>
  </si>
  <si>
    <t xml:space="preserve">достаточно выгодно и в значительной степени повышает рентабельность </t>
  </si>
  <si>
    <t>Следующий вид приплат - приплаты за качество.</t>
  </si>
  <si>
    <t xml:space="preserve">Например, в стандарте ФРГ рядовой прокат черных металлов подразделяется по </t>
  </si>
  <si>
    <t xml:space="preserve">1. Для ликвидации узкого места, то есть методической печи, необходимо </t>
  </si>
  <si>
    <t>В результате будет повышена производительность стана (примерно на 30 %),</t>
  </si>
  <si>
    <t xml:space="preserve">сократится расчет топлива за счет применения усовершенствованных </t>
  </si>
  <si>
    <t>уменьшится на 5-8 кг/т.</t>
  </si>
  <si>
    <t>Технико-экономические показатели работы</t>
  </si>
  <si>
    <t xml:space="preserve">Производство проката увеличится с 700 тыс.т до </t>
  </si>
  <si>
    <t>тыс.т</t>
  </si>
  <si>
    <t>сут</t>
  </si>
  <si>
    <t>Проиводительность увеличится до, т</t>
  </si>
  <si>
    <t>тонн</t>
  </si>
  <si>
    <t>Расчет экономического эффекта от сокращения расхода топлива:</t>
  </si>
  <si>
    <t>руб/т</t>
  </si>
  <si>
    <t>млн. руб</t>
  </si>
  <si>
    <t>млн. руб/год</t>
  </si>
  <si>
    <t>Экономический эффект на тонну</t>
  </si>
  <si>
    <t>Годовой экономический эффект</t>
  </si>
  <si>
    <t>Общий эффект от проведения реконструкции:</t>
  </si>
  <si>
    <t>млрд руб</t>
  </si>
  <si>
    <t>Увеличение чистой прибыли на</t>
  </si>
  <si>
    <t xml:space="preserve">Срок окупаемости - </t>
  </si>
  <si>
    <t>2. Необходимо увеличить число заказчиков, а так же количестов экспортных продаж.</t>
  </si>
  <si>
    <t>Это можно сделать путем проведения рекламной компании, а так же необходимо</t>
  </si>
  <si>
    <t>разрабатывать связи с предприятиями за рубежом.</t>
  </si>
  <si>
    <t xml:space="preserve">3. Учитывая рост строительства в последнии годы, логично предположить, </t>
  </si>
  <si>
    <t xml:space="preserve">что спрос на продукцию рельсо-балочного стана увеличится, для стимулирования </t>
  </si>
  <si>
    <t xml:space="preserve">увеличения количества продаж необходимо увеличивать сортамент, повышать </t>
  </si>
  <si>
    <t>качество продукции. Так же можно провести рекламную компанию, обращенную</t>
  </si>
  <si>
    <t>именно к потребителям этой продукции, то есть к строительным фирмам.</t>
  </si>
  <si>
    <t>Проверка зерна:</t>
  </si>
  <si>
    <r>
      <t xml:space="preserve">Таким образом, минимальная прибыль составляет </t>
    </r>
    <r>
      <rPr>
        <b/>
        <sz val="12"/>
        <rFont val="Times New Roman Cyr"/>
        <family val="1"/>
      </rPr>
      <t>28 000</t>
    </r>
    <r>
      <rPr>
        <sz val="12"/>
        <rFont val="Times New Roman Cyr"/>
        <family val="1"/>
      </rPr>
      <t xml:space="preserve"> долл, максимальная -</t>
    </r>
  </si>
  <si>
    <r>
      <t xml:space="preserve"> - </t>
    </r>
    <r>
      <rPr>
        <b/>
        <sz val="12"/>
        <rFont val="Times New Roman Cyr"/>
        <family val="1"/>
      </rPr>
      <t>1 820 000</t>
    </r>
    <r>
      <rPr>
        <sz val="12"/>
        <rFont val="Times New Roman Cyr"/>
        <family val="1"/>
      </rPr>
      <t xml:space="preserve"> долл</t>
    </r>
  </si>
  <si>
    <r>
      <t xml:space="preserve">продукции (на </t>
    </r>
    <r>
      <rPr>
        <b/>
        <sz val="12"/>
        <rFont val="Times New Roman Cyr"/>
        <family val="1"/>
      </rPr>
      <t>0,75 - 5,06</t>
    </r>
    <r>
      <rPr>
        <sz val="12"/>
        <rFont val="Times New Roman Cyr"/>
        <family val="1"/>
      </rPr>
      <t xml:space="preserve"> %)</t>
    </r>
  </si>
  <si>
    <t>технологий (на 17%), КПД рабочего пространства возрастет с 44,9 до 55, 2%.</t>
  </si>
  <si>
    <t>С учетом простоев и неритмичности работы стана расход топлива</t>
  </si>
  <si>
    <t>провести реконструкции  стоимостью 10 млн. долл.</t>
  </si>
  <si>
    <t>года</t>
  </si>
  <si>
    <t>то есть</t>
  </si>
  <si>
    <t>Финансовые операции</t>
  </si>
  <si>
    <t>Предыдущий год</t>
  </si>
  <si>
    <t>Планируемый год</t>
  </si>
  <si>
    <t>Объемы продаж</t>
  </si>
  <si>
    <t>Затраты на рекламу</t>
  </si>
  <si>
    <t>Непредвиденные затраты</t>
  </si>
  <si>
    <t>Чистые затраты</t>
  </si>
  <si>
    <t xml:space="preserve"> - </t>
  </si>
  <si>
    <t xml:space="preserve">Таким образом, прибыль от рекламы будет составлять </t>
  </si>
  <si>
    <t>млрд</t>
  </si>
  <si>
    <t>Затраты на рекламу составляют примерно 1% от объема реализации,</t>
  </si>
  <si>
    <t>Прирост объема реализации</t>
  </si>
  <si>
    <t xml:space="preserve"> 1,8-2</t>
  </si>
  <si>
    <t xml:space="preserve">Цена на прокат </t>
  </si>
  <si>
    <t>Участок</t>
  </si>
  <si>
    <t>Отходы</t>
  </si>
  <si>
    <t>Производительность</t>
  </si>
  <si>
    <t>Год.фонд вр. работы</t>
  </si>
  <si>
    <t>Расх. коэфф</t>
  </si>
  <si>
    <t>Кскв=</t>
  </si>
  <si>
    <t>Производиетльность процесса</t>
  </si>
  <si>
    <t>по заданному</t>
  </si>
  <si>
    <t>т/ч</t>
  </si>
  <si>
    <t>по годному</t>
  </si>
  <si>
    <t>Годовой объем пр-ва цеха</t>
  </si>
  <si>
    <t>т</t>
  </si>
  <si>
    <t>участок</t>
  </si>
  <si>
    <t>Пропускная сп-ть</t>
  </si>
  <si>
    <t>Нормат. прод. ремонт</t>
  </si>
  <si>
    <t>Расх. коэфф.=</t>
  </si>
  <si>
    <t>Производственная мощность цеха</t>
  </si>
  <si>
    <t>Ки основного участка</t>
  </si>
  <si>
    <t>Ки=</t>
  </si>
  <si>
    <t>т. к. производительность онсовного участка</t>
  </si>
  <si>
    <r>
      <t>Кэ</t>
    </r>
    <r>
      <rPr>
        <vertAlign val="superscript"/>
        <sz val="10"/>
        <rFont val="Arial Cyr"/>
        <family val="2"/>
      </rPr>
      <t>осн. уч.</t>
    </r>
  </si>
  <si>
    <t>К инт.=</t>
  </si>
  <si>
    <t>Производственная программа цеха</t>
  </si>
  <si>
    <t>участки</t>
  </si>
  <si>
    <t>проп. способность</t>
  </si>
  <si>
    <t>расход на 1 т</t>
  </si>
  <si>
    <t>Мощность цеха, т/сут</t>
  </si>
  <si>
    <t>Кс1=</t>
  </si>
  <si>
    <t>Кс2=</t>
  </si>
  <si>
    <t>Таким образом, недостаточна пропускная способность 1 участка (на 13%)</t>
  </si>
  <si>
    <t>Выводы</t>
  </si>
  <si>
    <t>Таким образом, проведя реконструкцию, увеличив количество заказов,</t>
  </si>
  <si>
    <t>расширив сортаметн продукции, можно существенно увеличить объем</t>
  </si>
  <si>
    <t>продаж и прибыль.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</si>
</sst>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14">
    <font>
      <sz val="10"/>
      <name val="Arial Cyr"/>
      <family val="0"/>
    </font>
    <font>
      <sz val="12"/>
      <name val="Times New Roman Cyr"/>
      <family val="1"/>
    </font>
    <font>
      <vertAlign val="superscript"/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10"/>
      <name val="Peterburg"/>
      <family val="0"/>
    </font>
    <font>
      <b/>
      <sz val="10"/>
      <name val="Peterburg"/>
      <family val="0"/>
    </font>
    <font>
      <b/>
      <sz val="10"/>
      <name val="Arial Cyr"/>
      <family val="0"/>
    </font>
    <font>
      <i/>
      <sz val="10"/>
      <name val="Arial Cyr"/>
      <family val="0"/>
    </font>
    <font>
      <vertAlign val="superscript"/>
      <sz val="10"/>
      <name val="Arial Cyr"/>
      <family val="2"/>
    </font>
    <font>
      <b/>
      <sz val="8"/>
      <name val="Arial Cyr"/>
      <family val="2"/>
    </font>
    <font>
      <b/>
      <sz val="16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2" fontId="8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" customWidth="1"/>
    <col min="2" max="2" width="11.75390625" style="1" customWidth="1"/>
    <col min="3" max="3" width="10.625" style="1" customWidth="1"/>
    <col min="4" max="4" width="9.125" style="1" customWidth="1"/>
    <col min="5" max="5" width="10.25390625" style="1" customWidth="1"/>
    <col min="6" max="6" width="7.875" style="1" customWidth="1"/>
    <col min="7" max="7" width="9.00390625" style="1" customWidth="1"/>
    <col min="8" max="16384" width="9.125" style="1" customWidth="1"/>
  </cols>
  <sheetData>
    <row r="1" ht="20.25">
      <c r="A1" s="44" t="s">
        <v>173</v>
      </c>
    </row>
    <row r="3" spans="1:2" ht="15.75">
      <c r="A3" s="32" t="s">
        <v>96</v>
      </c>
      <c r="B3" s="32"/>
    </row>
    <row r="4" spans="1:2" ht="15.75">
      <c r="A4" s="32" t="s">
        <v>1</v>
      </c>
      <c r="B4" s="32"/>
    </row>
    <row r="6" spans="1:10" ht="45" customHeight="1">
      <c r="A6" s="2"/>
      <c r="B6" s="3"/>
      <c r="C6" s="56" t="s">
        <v>10</v>
      </c>
      <c r="D6" s="46" t="s">
        <v>4</v>
      </c>
      <c r="E6" s="47"/>
      <c r="F6" s="56" t="s">
        <v>7</v>
      </c>
      <c r="G6" s="56" t="s">
        <v>11</v>
      </c>
      <c r="H6" s="56" t="s">
        <v>8</v>
      </c>
      <c r="I6" s="27" t="s">
        <v>9</v>
      </c>
      <c r="J6" s="4"/>
    </row>
    <row r="7" spans="1:9" ht="15.75">
      <c r="A7" s="7"/>
      <c r="B7" s="8"/>
      <c r="C7" s="57"/>
      <c r="D7" s="28" t="s">
        <v>5</v>
      </c>
      <c r="E7" s="28" t="s">
        <v>6</v>
      </c>
      <c r="F7" s="57"/>
      <c r="G7" s="57"/>
      <c r="H7" s="57"/>
      <c r="I7" s="29"/>
    </row>
    <row r="8" spans="1:9" ht="15.75">
      <c r="A8" s="23" t="s">
        <v>2</v>
      </c>
      <c r="B8" s="24"/>
      <c r="C8" s="6">
        <v>1275.2</v>
      </c>
      <c r="D8" s="6">
        <f>E8*19</f>
        <v>3642.2999999999997</v>
      </c>
      <c r="E8" s="6">
        <v>191.7</v>
      </c>
      <c r="F8" s="6">
        <v>8280</v>
      </c>
      <c r="G8" s="6">
        <v>95</v>
      </c>
      <c r="H8" s="6">
        <v>0.6</v>
      </c>
      <c r="I8" s="6">
        <v>1.1</v>
      </c>
    </row>
    <row r="9" spans="1:9" ht="15.75">
      <c r="A9" s="25" t="s">
        <v>3</v>
      </c>
      <c r="B9" s="26"/>
      <c r="C9" s="9">
        <v>700</v>
      </c>
      <c r="D9" s="6">
        <f>E9*19</f>
        <v>2416.8</v>
      </c>
      <c r="E9" s="9">
        <v>127.2</v>
      </c>
      <c r="F9" s="9">
        <v>5200</v>
      </c>
      <c r="G9" s="9">
        <v>95</v>
      </c>
      <c r="H9" s="9">
        <v>0.6</v>
      </c>
      <c r="I9" s="9">
        <v>1.2</v>
      </c>
    </row>
    <row r="11" spans="1:5" ht="15.75">
      <c r="A11" s="45" t="s">
        <v>142</v>
      </c>
      <c r="B11" s="45"/>
      <c r="C11" s="45"/>
      <c r="D11" s="1" t="s">
        <v>141</v>
      </c>
      <c r="E11" s="1" t="s">
        <v>104</v>
      </c>
    </row>
    <row r="13" ht="15.75">
      <c r="A13" s="1" t="s">
        <v>14</v>
      </c>
    </row>
    <row r="14" ht="15.75">
      <c r="A14" s="1" t="s">
        <v>12</v>
      </c>
    </row>
    <row r="15" ht="15.75">
      <c r="A15" s="1" t="s">
        <v>42</v>
      </c>
    </row>
    <row r="16" ht="15.75">
      <c r="A16" s="1" t="s">
        <v>43</v>
      </c>
    </row>
    <row r="17" ht="15.75">
      <c r="A17" s="1" t="s">
        <v>44</v>
      </c>
    </row>
    <row r="18" ht="15.75">
      <c r="A18" s="1" t="s">
        <v>45</v>
      </c>
    </row>
    <row r="19" ht="15.75">
      <c r="A19" s="1" t="s">
        <v>13</v>
      </c>
    </row>
    <row r="20" ht="15.75">
      <c r="A20" s="1" t="s">
        <v>46</v>
      </c>
    </row>
    <row r="21" ht="15.75">
      <c r="A21" s="1" t="s">
        <v>47</v>
      </c>
    </row>
    <row r="22" ht="15.75">
      <c r="A22" s="1" t="s">
        <v>48</v>
      </c>
    </row>
    <row r="23" ht="15.75">
      <c r="A23" s="1" t="s">
        <v>49</v>
      </c>
    </row>
    <row r="24" ht="15.75">
      <c r="A24" s="1" t="s">
        <v>50</v>
      </c>
    </row>
    <row r="25" ht="15.75">
      <c r="A25" s="1" t="s">
        <v>51</v>
      </c>
    </row>
    <row r="26" ht="15.75">
      <c r="A26" s="1" t="s">
        <v>15</v>
      </c>
    </row>
    <row r="27" ht="15.75">
      <c r="A27" s="1" t="s">
        <v>52</v>
      </c>
    </row>
    <row r="28" ht="15.75">
      <c r="A28" s="1" t="s">
        <v>53</v>
      </c>
    </row>
    <row r="30" ht="15.75">
      <c r="A30" s="1" t="s">
        <v>16</v>
      </c>
    </row>
    <row r="31" ht="15.75">
      <c r="A31" s="1" t="s">
        <v>92</v>
      </c>
    </row>
    <row r="32" ht="15.75">
      <c r="A32" s="1" t="s">
        <v>126</v>
      </c>
    </row>
    <row r="33" ht="15.75">
      <c r="A33" s="1" t="s">
        <v>93</v>
      </c>
    </row>
    <row r="34" ht="15.75">
      <c r="A34" s="1" t="s">
        <v>94</v>
      </c>
    </row>
    <row r="35" ht="15.75">
      <c r="A35" s="1" t="s">
        <v>124</v>
      </c>
    </row>
    <row r="36" ht="15.75">
      <c r="A36" s="1" t="s">
        <v>125</v>
      </c>
    </row>
    <row r="37" ht="15.75">
      <c r="A37" s="1" t="s">
        <v>95</v>
      </c>
    </row>
    <row r="38" spans="1:7" ht="15.75">
      <c r="A38" s="1" t="s">
        <v>97</v>
      </c>
      <c r="F38" s="1">
        <f>C9*1.3</f>
        <v>910</v>
      </c>
      <c r="G38" s="1" t="s">
        <v>98</v>
      </c>
    </row>
    <row r="39" spans="1:7" ht="15.75">
      <c r="A39" s="1" t="s">
        <v>100</v>
      </c>
      <c r="E39" s="1" t="s">
        <v>99</v>
      </c>
      <c r="F39" s="1">
        <f>F40*24</f>
        <v>4067.76</v>
      </c>
      <c r="G39" s="1" t="s">
        <v>101</v>
      </c>
    </row>
    <row r="40" spans="5:7" ht="15.75">
      <c r="E40" s="1" t="s">
        <v>6</v>
      </c>
      <c r="F40" s="1">
        <v>169.49</v>
      </c>
      <c r="G40" s="1" t="s">
        <v>101</v>
      </c>
    </row>
    <row r="42" ht="15.75">
      <c r="H42" s="30"/>
    </row>
    <row r="43" spans="1:4" ht="15.75">
      <c r="A43" s="10" t="s">
        <v>102</v>
      </c>
      <c r="B43" s="10"/>
      <c r="C43" s="10"/>
      <c r="D43" s="10"/>
    </row>
    <row r="44" spans="1:6" ht="15.75">
      <c r="A44" s="10" t="s">
        <v>106</v>
      </c>
      <c r="B44" s="10"/>
      <c r="C44" s="10"/>
      <c r="D44" s="10"/>
      <c r="E44" s="33">
        <f>350000/1000*7</f>
        <v>2450</v>
      </c>
      <c r="F44" s="1" t="s">
        <v>103</v>
      </c>
    </row>
    <row r="45" spans="1:6" ht="15.75">
      <c r="A45" s="10" t="s">
        <v>107</v>
      </c>
      <c r="B45" s="10"/>
      <c r="C45" s="10"/>
      <c r="D45" s="10"/>
      <c r="E45" s="11">
        <f>E44*910000/1000000</f>
        <v>2229.5</v>
      </c>
      <c r="F45" s="1" t="s">
        <v>105</v>
      </c>
    </row>
    <row r="46" spans="1:5" ht="15.75">
      <c r="A46" s="10"/>
      <c r="B46" s="10"/>
      <c r="C46" s="10"/>
      <c r="D46" s="10"/>
      <c r="E46" s="11"/>
    </row>
    <row r="47" ht="15.75">
      <c r="A47" s="1" t="s">
        <v>108</v>
      </c>
    </row>
    <row r="48" spans="1:5" ht="15.75">
      <c r="A48" s="1" t="s">
        <v>140</v>
      </c>
      <c r="D48" s="32">
        <f>(F38-C9)*1000*1.8/1000</f>
        <v>378</v>
      </c>
      <c r="E48" s="1" t="s">
        <v>109</v>
      </c>
    </row>
    <row r="49" spans="1:6" ht="15.75">
      <c r="A49" s="1" t="s">
        <v>110</v>
      </c>
      <c r="E49" s="32">
        <f>((F38-C9)*1000*(1.8-1.58)/1000+E45/1000)*0.55</f>
        <v>26.636225</v>
      </c>
      <c r="F49" s="1" t="s">
        <v>109</v>
      </c>
    </row>
    <row r="51" spans="1:4" ht="15.75">
      <c r="A51" s="1" t="s">
        <v>111</v>
      </c>
      <c r="C51" s="1">
        <f>10*6/E49</f>
        <v>2.2525714510971433</v>
      </c>
      <c r="D51" s="1" t="s">
        <v>127</v>
      </c>
    </row>
    <row r="53" ht="15.75">
      <c r="A53" s="1" t="s">
        <v>112</v>
      </c>
    </row>
    <row r="54" ht="15.75">
      <c r="A54" s="1" t="s">
        <v>113</v>
      </c>
    </row>
    <row r="55" ht="15.75">
      <c r="A55" s="1" t="s">
        <v>114</v>
      </c>
    </row>
    <row r="57" ht="15.75">
      <c r="A57" s="1" t="s">
        <v>115</v>
      </c>
    </row>
    <row r="58" ht="15.75">
      <c r="A58" s="1" t="s">
        <v>116</v>
      </c>
    </row>
    <row r="59" ht="15.75">
      <c r="A59" s="1" t="s">
        <v>117</v>
      </c>
    </row>
    <row r="60" ht="15.75">
      <c r="A60" s="1" t="s">
        <v>118</v>
      </c>
    </row>
    <row r="61" ht="15.75">
      <c r="A61" s="1" t="s">
        <v>119</v>
      </c>
    </row>
    <row r="63" ht="15.75">
      <c r="A63" s="1" t="s">
        <v>139</v>
      </c>
    </row>
    <row r="64" spans="1:3" ht="15.75">
      <c r="A64" s="1" t="s">
        <v>128</v>
      </c>
      <c r="B64" s="1">
        <f>700000*1.8*0.01</f>
        <v>12600</v>
      </c>
      <c r="C64" s="1" t="s">
        <v>104</v>
      </c>
    </row>
    <row r="66" spans="1:7" ht="15.75">
      <c r="A66" s="36" t="s">
        <v>129</v>
      </c>
      <c r="B66" s="5"/>
      <c r="C66" s="17"/>
      <c r="D66" s="36" t="s">
        <v>130</v>
      </c>
      <c r="E66" s="17"/>
      <c r="F66" s="23" t="s">
        <v>131</v>
      </c>
      <c r="G66" s="17"/>
    </row>
    <row r="67" spans="1:7" ht="15.75">
      <c r="A67" s="2" t="s">
        <v>132</v>
      </c>
      <c r="B67" s="3"/>
      <c r="C67" s="34"/>
      <c r="D67" s="58">
        <f>700*1.8</f>
        <v>1260</v>
      </c>
      <c r="E67" s="59"/>
      <c r="F67" s="58">
        <f>700*1.8*1.15</f>
        <v>1449</v>
      </c>
      <c r="G67" s="59"/>
    </row>
    <row r="68" spans="1:7" ht="15.75">
      <c r="A68" s="12" t="s">
        <v>133</v>
      </c>
      <c r="B68" s="13"/>
      <c r="C68" s="14"/>
      <c r="D68" s="60" t="s">
        <v>136</v>
      </c>
      <c r="E68" s="61"/>
      <c r="F68" s="60">
        <f>12600/1000</f>
        <v>12.6</v>
      </c>
      <c r="G68" s="61"/>
    </row>
    <row r="69" spans="1:7" ht="15.75">
      <c r="A69" s="12" t="s">
        <v>134</v>
      </c>
      <c r="B69" s="13"/>
      <c r="C69" s="14"/>
      <c r="D69" s="60" t="s">
        <v>136</v>
      </c>
      <c r="E69" s="61"/>
      <c r="F69" s="60">
        <f>F68*0.15</f>
        <v>1.89</v>
      </c>
      <c r="G69" s="61"/>
    </row>
    <row r="70" spans="1:7" ht="15.75">
      <c r="A70" s="7" t="s">
        <v>135</v>
      </c>
      <c r="B70" s="8"/>
      <c r="C70" s="35"/>
      <c r="D70" s="62" t="s">
        <v>136</v>
      </c>
      <c r="E70" s="63"/>
      <c r="F70" s="62">
        <f>F69+F68</f>
        <v>14.49</v>
      </c>
      <c r="G70" s="63"/>
    </row>
    <row r="71" spans="1:3" ht="15.75">
      <c r="A71" s="13"/>
      <c r="B71" s="13"/>
      <c r="C71" s="13"/>
    </row>
    <row r="72" spans="1:8" ht="15.75">
      <c r="A72" s="1" t="s">
        <v>137</v>
      </c>
      <c r="G72" s="1">
        <f>(F67-D67)*0.15-F70</f>
        <v>13.859999999999998</v>
      </c>
      <c r="H72" s="1" t="s">
        <v>138</v>
      </c>
    </row>
    <row r="73" ht="15.75">
      <c r="A73" s="1" t="s">
        <v>54</v>
      </c>
    </row>
    <row r="74" ht="15.75">
      <c r="A74" s="1" t="s">
        <v>55</v>
      </c>
    </row>
    <row r="75" ht="15.75">
      <c r="A75" s="1" t="s">
        <v>56</v>
      </c>
    </row>
    <row r="76" ht="15.75">
      <c r="A76" s="1" t="s">
        <v>57</v>
      </c>
    </row>
    <row r="77" ht="15.75">
      <c r="A77" s="1" t="s">
        <v>58</v>
      </c>
    </row>
    <row r="78" ht="15.75">
      <c r="A78" s="1" t="s">
        <v>59</v>
      </c>
    </row>
    <row r="79" ht="15.75">
      <c r="A79" s="1" t="s">
        <v>17</v>
      </c>
    </row>
    <row r="80" spans="1:4" ht="15.75">
      <c r="A80" s="1" t="s">
        <v>18</v>
      </c>
      <c r="B80" s="1" t="s">
        <v>19</v>
      </c>
      <c r="D80" s="1" t="s">
        <v>20</v>
      </c>
    </row>
    <row r="81" spans="2:3" ht="15.75">
      <c r="B81" s="64">
        <v>25</v>
      </c>
      <c r="C81" s="6" t="s">
        <v>24</v>
      </c>
    </row>
    <row r="82" spans="2:3" ht="15.75">
      <c r="B82" s="65" t="s">
        <v>21</v>
      </c>
      <c r="C82" s="66">
        <v>4</v>
      </c>
    </row>
    <row r="83" spans="2:3" ht="15.75">
      <c r="B83" s="67" t="s">
        <v>22</v>
      </c>
      <c r="C83" s="66">
        <v>9</v>
      </c>
    </row>
    <row r="84" spans="2:3" ht="15.75">
      <c r="B84" s="67" t="s">
        <v>23</v>
      </c>
      <c r="C84" s="66">
        <v>16</v>
      </c>
    </row>
    <row r="85" spans="2:3" ht="15.75">
      <c r="B85" s="64">
        <v>3</v>
      </c>
      <c r="C85" s="6" t="s">
        <v>25</v>
      </c>
    </row>
    <row r="86" ht="15.75">
      <c r="A86" s="1" t="s">
        <v>60</v>
      </c>
    </row>
    <row r="87" ht="15.75">
      <c r="A87" s="1" t="s">
        <v>61</v>
      </c>
    </row>
    <row r="89" ht="15.75">
      <c r="A89" s="1" t="s">
        <v>90</v>
      </c>
    </row>
    <row r="90" ht="15.75">
      <c r="A90" s="1" t="s">
        <v>91</v>
      </c>
    </row>
    <row r="91" ht="15.75">
      <c r="A91" s="1" t="s">
        <v>62</v>
      </c>
    </row>
    <row r="92" ht="15.75">
      <c r="A92" s="1" t="s">
        <v>26</v>
      </c>
    </row>
    <row r="93" ht="15.75">
      <c r="A93" s="1" t="s">
        <v>27</v>
      </c>
    </row>
    <row r="94" ht="15.75">
      <c r="A94" s="1" t="s">
        <v>28</v>
      </c>
    </row>
    <row r="95" ht="15.75">
      <c r="A95" s="1" t="s">
        <v>29</v>
      </c>
    </row>
    <row r="96" spans="1:6" ht="15.75">
      <c r="A96" s="1" t="s">
        <v>32</v>
      </c>
      <c r="C96" s="1" t="s">
        <v>30</v>
      </c>
      <c r="F96" s="1" t="s">
        <v>31</v>
      </c>
    </row>
    <row r="97" spans="1:6" ht="15.75">
      <c r="A97" s="1">
        <v>34</v>
      </c>
      <c r="C97" s="1" t="s">
        <v>33</v>
      </c>
      <c r="F97" s="1">
        <v>6.1</v>
      </c>
    </row>
    <row r="98" spans="1:6" ht="15.75">
      <c r="A98" s="1">
        <v>34</v>
      </c>
      <c r="C98" s="1" t="s">
        <v>34</v>
      </c>
      <c r="F98" s="1">
        <v>18.4</v>
      </c>
    </row>
    <row r="99" spans="1:6" ht="15.75">
      <c r="A99" s="1">
        <v>37</v>
      </c>
      <c r="C99" s="1" t="s">
        <v>35</v>
      </c>
      <c r="F99" s="1">
        <v>2.8</v>
      </c>
    </row>
    <row r="100" spans="1:6" ht="15.75">
      <c r="A100" s="1">
        <v>37</v>
      </c>
      <c r="C100" s="1" t="s">
        <v>36</v>
      </c>
      <c r="F100" s="1">
        <v>15.1</v>
      </c>
    </row>
    <row r="101" spans="1:6" ht="15.75">
      <c r="A101" s="1">
        <v>42</v>
      </c>
      <c r="C101" s="1" t="s">
        <v>37</v>
      </c>
      <c r="F101" s="1">
        <v>7.8</v>
      </c>
    </row>
    <row r="102" spans="1:6" ht="15.75">
      <c r="A102" s="1">
        <v>42</v>
      </c>
      <c r="C102" s="1" t="s">
        <v>38</v>
      </c>
      <c r="F102" s="1">
        <v>20.1</v>
      </c>
    </row>
    <row r="103" spans="1:6" ht="15.75">
      <c r="A103" s="1">
        <v>50</v>
      </c>
      <c r="C103" s="1" t="s">
        <v>39</v>
      </c>
      <c r="F103" s="1">
        <v>24.6</v>
      </c>
    </row>
    <row r="104" spans="1:6" ht="15.75">
      <c r="A104" s="1">
        <v>60</v>
      </c>
      <c r="C104" s="1" t="s">
        <v>40</v>
      </c>
      <c r="F104" s="1">
        <v>28</v>
      </c>
    </row>
    <row r="106" ht="15.75">
      <c r="A106" s="1" t="s">
        <v>63</v>
      </c>
    </row>
    <row r="107" spans="1:8" ht="15.75">
      <c r="A107" s="1" t="s">
        <v>64</v>
      </c>
      <c r="G107" s="32">
        <f>SUM(F97:F104)/8</f>
        <v>15.3625</v>
      </c>
      <c r="H107" s="1" t="s">
        <v>41</v>
      </c>
    </row>
    <row r="109" ht="15.75">
      <c r="A109" s="1" t="s">
        <v>65</v>
      </c>
    </row>
    <row r="110" ht="15.75">
      <c r="A110" s="1" t="s">
        <v>66</v>
      </c>
    </row>
    <row r="111" spans="1:4" ht="15.75">
      <c r="A111" s="1" t="s">
        <v>67</v>
      </c>
      <c r="D111" s="31" t="s">
        <v>75</v>
      </c>
    </row>
    <row r="112" spans="1:4" ht="15.75">
      <c r="A112" s="1" t="s">
        <v>68</v>
      </c>
      <c r="D112" s="1">
        <v>2</v>
      </c>
    </row>
    <row r="113" spans="1:4" ht="15.75">
      <c r="A113" s="1" t="s">
        <v>69</v>
      </c>
      <c r="D113" s="1">
        <v>6.1</v>
      </c>
    </row>
    <row r="114" ht="15.75">
      <c r="A114" s="1" t="s">
        <v>120</v>
      </c>
    </row>
    <row r="115" spans="1:4" ht="15.75">
      <c r="A115" s="1">
        <v>0</v>
      </c>
      <c r="D115" s="1">
        <v>11.4</v>
      </c>
    </row>
    <row r="116" spans="1:4" ht="15.75">
      <c r="A116" s="1" t="s">
        <v>70</v>
      </c>
      <c r="D116" s="1">
        <v>14.7</v>
      </c>
    </row>
    <row r="117" ht="15.75">
      <c r="A117" s="1" t="s">
        <v>71</v>
      </c>
    </row>
    <row r="118" spans="1:4" ht="18.75">
      <c r="A118" s="1" t="s">
        <v>73</v>
      </c>
      <c r="D118" s="1">
        <v>11</v>
      </c>
    </row>
    <row r="119" spans="1:4" ht="18.75">
      <c r="A119" s="1" t="s">
        <v>74</v>
      </c>
      <c r="D119" s="1">
        <v>15</v>
      </c>
    </row>
    <row r="120" spans="1:4" ht="15.75">
      <c r="A120" s="1" t="s">
        <v>72</v>
      </c>
      <c r="D120" s="1">
        <v>1.5</v>
      </c>
    </row>
    <row r="123" ht="15.75">
      <c r="A123" s="1" t="s">
        <v>76</v>
      </c>
    </row>
    <row r="124" ht="15.75">
      <c r="A124" s="1" t="s">
        <v>77</v>
      </c>
    </row>
    <row r="125" ht="15.75">
      <c r="A125" s="1" t="s">
        <v>78</v>
      </c>
    </row>
    <row r="126" ht="15.75">
      <c r="A126" s="1" t="s">
        <v>79</v>
      </c>
    </row>
    <row r="127" ht="15.75">
      <c r="A127" s="1" t="s">
        <v>80</v>
      </c>
    </row>
    <row r="130" ht="15.75">
      <c r="A130" s="1" t="s">
        <v>81</v>
      </c>
    </row>
    <row r="131" ht="15.75">
      <c r="A131" s="1" t="s">
        <v>82</v>
      </c>
    </row>
    <row r="132" spans="2:8" ht="15.75">
      <c r="B132" s="55" t="s">
        <v>84</v>
      </c>
      <c r="C132" s="55"/>
      <c r="D132" s="55"/>
      <c r="E132" s="55"/>
      <c r="F132" s="55"/>
      <c r="G132" s="55"/>
      <c r="H132" s="55"/>
    </row>
    <row r="133" spans="2:8" ht="15.75">
      <c r="B133" s="55" t="s">
        <v>86</v>
      </c>
      <c r="C133" s="55"/>
      <c r="D133" s="55"/>
      <c r="E133" s="55"/>
      <c r="F133" s="55"/>
      <c r="G133" s="55"/>
      <c r="H133" s="55"/>
    </row>
    <row r="134" spans="1:8" ht="15.75">
      <c r="A134" s="2"/>
      <c r="B134" s="51" t="s">
        <v>85</v>
      </c>
      <c r="C134" s="52"/>
      <c r="D134" s="53"/>
      <c r="E134" s="52"/>
      <c r="F134" s="53"/>
      <c r="G134" s="52"/>
      <c r="H134" s="54"/>
    </row>
    <row r="135" spans="1:8" ht="15.75">
      <c r="A135" s="12"/>
      <c r="B135" s="15"/>
      <c r="C135" s="18">
        <v>2</v>
      </c>
      <c r="D135" s="19">
        <v>5</v>
      </c>
      <c r="E135" s="18">
        <v>7</v>
      </c>
      <c r="F135" s="19">
        <v>9</v>
      </c>
      <c r="G135" s="18">
        <v>11</v>
      </c>
      <c r="H135" s="20">
        <v>13</v>
      </c>
    </row>
    <row r="136" spans="1:8" ht="15.75">
      <c r="A136" s="48" t="s">
        <v>83</v>
      </c>
      <c r="B136" s="21">
        <v>2</v>
      </c>
      <c r="C136" s="6">
        <f aca="true" t="shared" si="0" ref="C136:H144">C$135*$B136/100*$C$9</f>
        <v>28</v>
      </c>
      <c r="D136" s="5">
        <f t="shared" si="0"/>
        <v>70</v>
      </c>
      <c r="E136" s="6">
        <f t="shared" si="0"/>
        <v>98.00000000000001</v>
      </c>
      <c r="F136" s="5">
        <f t="shared" si="0"/>
        <v>126</v>
      </c>
      <c r="G136" s="6">
        <f t="shared" si="0"/>
        <v>154</v>
      </c>
      <c r="H136" s="17">
        <f t="shared" si="0"/>
        <v>182</v>
      </c>
    </row>
    <row r="137" spans="1:8" ht="15.75">
      <c r="A137" s="49"/>
      <c r="B137" s="22">
        <v>3</v>
      </c>
      <c r="C137" s="16">
        <f t="shared" si="0"/>
        <v>42</v>
      </c>
      <c r="D137" s="13">
        <f t="shared" si="0"/>
        <v>105</v>
      </c>
      <c r="E137" s="16">
        <f t="shared" si="0"/>
        <v>147</v>
      </c>
      <c r="F137" s="13">
        <f t="shared" si="0"/>
        <v>189</v>
      </c>
      <c r="G137" s="16">
        <f t="shared" si="0"/>
        <v>231</v>
      </c>
      <c r="H137" s="14">
        <f t="shared" si="0"/>
        <v>273</v>
      </c>
    </row>
    <row r="138" spans="1:8" ht="15.75">
      <c r="A138" s="49"/>
      <c r="B138" s="21">
        <v>5</v>
      </c>
      <c r="C138" s="6">
        <f t="shared" si="0"/>
        <v>70</v>
      </c>
      <c r="D138" s="5">
        <f t="shared" si="0"/>
        <v>175</v>
      </c>
      <c r="E138" s="6">
        <f t="shared" si="0"/>
        <v>244.99999999999997</v>
      </c>
      <c r="F138" s="5">
        <f t="shared" si="0"/>
        <v>315</v>
      </c>
      <c r="G138" s="6">
        <f t="shared" si="0"/>
        <v>385.00000000000006</v>
      </c>
      <c r="H138" s="17">
        <f t="shared" si="0"/>
        <v>455</v>
      </c>
    </row>
    <row r="139" spans="1:8" ht="15.75">
      <c r="A139" s="49"/>
      <c r="B139" s="22">
        <v>7</v>
      </c>
      <c r="C139" s="16">
        <f t="shared" si="0"/>
        <v>98.00000000000001</v>
      </c>
      <c r="D139" s="13">
        <f t="shared" si="0"/>
        <v>244.99999999999997</v>
      </c>
      <c r="E139" s="16">
        <f t="shared" si="0"/>
        <v>343</v>
      </c>
      <c r="F139" s="13">
        <f t="shared" si="0"/>
        <v>441</v>
      </c>
      <c r="G139" s="16">
        <f t="shared" si="0"/>
        <v>539</v>
      </c>
      <c r="H139" s="14">
        <f t="shared" si="0"/>
        <v>637</v>
      </c>
    </row>
    <row r="140" spans="1:8" ht="15.75">
      <c r="A140" s="49"/>
      <c r="B140" s="21">
        <v>10</v>
      </c>
      <c r="C140" s="6">
        <f t="shared" si="0"/>
        <v>140</v>
      </c>
      <c r="D140" s="5">
        <f t="shared" si="0"/>
        <v>350</v>
      </c>
      <c r="E140" s="6">
        <f t="shared" si="0"/>
        <v>489.99999999999994</v>
      </c>
      <c r="F140" s="5">
        <f t="shared" si="0"/>
        <v>630</v>
      </c>
      <c r="G140" s="6">
        <f t="shared" si="0"/>
        <v>770.0000000000001</v>
      </c>
      <c r="H140" s="17">
        <f t="shared" si="0"/>
        <v>910</v>
      </c>
    </row>
    <row r="141" spans="1:8" ht="15.75">
      <c r="A141" s="49"/>
      <c r="B141" s="22">
        <v>13</v>
      </c>
      <c r="C141" s="16">
        <f t="shared" si="0"/>
        <v>182</v>
      </c>
      <c r="D141" s="13">
        <f t="shared" si="0"/>
        <v>455</v>
      </c>
      <c r="E141" s="16">
        <f t="shared" si="0"/>
        <v>637</v>
      </c>
      <c r="F141" s="13">
        <f t="shared" si="0"/>
        <v>819</v>
      </c>
      <c r="G141" s="16">
        <f t="shared" si="0"/>
        <v>1001</v>
      </c>
      <c r="H141" s="14">
        <f t="shared" si="0"/>
        <v>1183</v>
      </c>
    </row>
    <row r="142" spans="1:8" ht="15.75">
      <c r="A142" s="49"/>
      <c r="B142" s="21">
        <v>15</v>
      </c>
      <c r="C142" s="6">
        <f t="shared" si="0"/>
        <v>210</v>
      </c>
      <c r="D142" s="5">
        <f t="shared" si="0"/>
        <v>525</v>
      </c>
      <c r="E142" s="6">
        <f t="shared" si="0"/>
        <v>735</v>
      </c>
      <c r="F142" s="5">
        <f t="shared" si="0"/>
        <v>945.0000000000001</v>
      </c>
      <c r="G142" s="6">
        <f t="shared" si="0"/>
        <v>1155</v>
      </c>
      <c r="H142" s="17">
        <f t="shared" si="0"/>
        <v>1365</v>
      </c>
    </row>
    <row r="143" spans="1:8" ht="15.75">
      <c r="A143" s="49"/>
      <c r="B143" s="22">
        <v>17</v>
      </c>
      <c r="C143" s="16">
        <f t="shared" si="0"/>
        <v>238.00000000000003</v>
      </c>
      <c r="D143" s="13">
        <f t="shared" si="0"/>
        <v>595</v>
      </c>
      <c r="E143" s="16">
        <f t="shared" si="0"/>
        <v>833</v>
      </c>
      <c r="F143" s="13">
        <f t="shared" si="0"/>
        <v>1071</v>
      </c>
      <c r="G143" s="16">
        <f t="shared" si="0"/>
        <v>1309</v>
      </c>
      <c r="H143" s="14">
        <f t="shared" si="0"/>
        <v>1547</v>
      </c>
    </row>
    <row r="144" spans="1:8" ht="15.75">
      <c r="A144" s="50"/>
      <c r="B144" s="21">
        <v>20</v>
      </c>
      <c r="C144" s="6">
        <f t="shared" si="0"/>
        <v>280</v>
      </c>
      <c r="D144" s="5">
        <f t="shared" si="0"/>
        <v>700</v>
      </c>
      <c r="E144" s="6">
        <f t="shared" si="0"/>
        <v>979.9999999999999</v>
      </c>
      <c r="F144" s="5">
        <f t="shared" si="0"/>
        <v>1260</v>
      </c>
      <c r="G144" s="6">
        <f t="shared" si="0"/>
        <v>1540.0000000000002</v>
      </c>
      <c r="H144" s="17">
        <f t="shared" si="0"/>
        <v>1820</v>
      </c>
    </row>
    <row r="146" ht="15.75">
      <c r="A146" s="1" t="s">
        <v>121</v>
      </c>
    </row>
    <row r="147" ht="15.75">
      <c r="A147" s="1" t="s">
        <v>122</v>
      </c>
    </row>
    <row r="148" ht="15.75">
      <c r="A148" s="1" t="s">
        <v>87</v>
      </c>
    </row>
    <row r="149" ht="15.75">
      <c r="A149" s="1" t="s">
        <v>88</v>
      </c>
    </row>
    <row r="150" ht="15.75">
      <c r="A150" s="1" t="s">
        <v>89</v>
      </c>
    </row>
    <row r="151" ht="15.75">
      <c r="A151" s="1" t="s">
        <v>123</v>
      </c>
    </row>
    <row r="153" ht="15.75">
      <c r="A153" s="1" t="s">
        <v>174</v>
      </c>
    </row>
    <row r="154" ht="15.75">
      <c r="A154" s="1" t="s">
        <v>175</v>
      </c>
    </row>
    <row r="155" ht="15.75">
      <c r="A155" s="1" t="s">
        <v>176</v>
      </c>
    </row>
  </sheetData>
  <mergeCells count="18">
    <mergeCell ref="F67:G67"/>
    <mergeCell ref="F68:G68"/>
    <mergeCell ref="F69:G69"/>
    <mergeCell ref="F70:G70"/>
    <mergeCell ref="D67:E67"/>
    <mergeCell ref="D68:E68"/>
    <mergeCell ref="D69:E69"/>
    <mergeCell ref="D70:E70"/>
    <mergeCell ref="A11:C11"/>
    <mergeCell ref="D6:E6"/>
    <mergeCell ref="A136:A144"/>
    <mergeCell ref="B134:H134"/>
    <mergeCell ref="B132:H132"/>
    <mergeCell ref="B133:H133"/>
    <mergeCell ref="F6:F7"/>
    <mergeCell ref="G6:G7"/>
    <mergeCell ref="C6:C7"/>
    <mergeCell ref="H6:H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4">
      <selection activeCell="C20" sqref="C20"/>
    </sheetView>
  </sheetViews>
  <sheetFormatPr defaultColWidth="9.00390625" defaultRowHeight="12.75"/>
  <cols>
    <col min="1" max="1" width="13.875" style="0" customWidth="1"/>
    <col min="2" max="2" width="15.75390625" style="0" customWidth="1"/>
    <col min="3" max="3" width="19.375" style="0" customWidth="1"/>
    <col min="4" max="4" width="12.875" style="0" customWidth="1"/>
    <col min="5" max="5" width="13.625" style="0" customWidth="1"/>
  </cols>
  <sheetData>
    <row r="1" ht="12.75">
      <c r="A1" t="s">
        <v>0</v>
      </c>
    </row>
    <row r="4" spans="1:5" ht="12.75">
      <c r="A4" s="37" t="s">
        <v>143</v>
      </c>
      <c r="B4" s="37" t="s">
        <v>144</v>
      </c>
      <c r="C4" s="37" t="s">
        <v>145</v>
      </c>
      <c r="D4" s="37" t="s">
        <v>146</v>
      </c>
      <c r="E4" s="37" t="s">
        <v>147</v>
      </c>
    </row>
    <row r="5" spans="1:5" ht="12.75">
      <c r="A5" s="38">
        <v>1</v>
      </c>
      <c r="B5" s="38">
        <v>0.1</v>
      </c>
      <c r="C5" s="38">
        <v>150</v>
      </c>
      <c r="D5" s="38">
        <v>5200</v>
      </c>
      <c r="E5" s="38">
        <f>1+B5</f>
        <v>1.1</v>
      </c>
    </row>
    <row r="6" spans="1:5" ht="12.75">
      <c r="A6" s="38">
        <v>2</v>
      </c>
      <c r="B6" s="38">
        <v>0.18</v>
      </c>
      <c r="C6" s="38"/>
      <c r="D6" s="38">
        <v>5200</v>
      </c>
      <c r="E6" s="38">
        <f>1+B6</f>
        <v>1.18</v>
      </c>
    </row>
    <row r="8" spans="1:2" ht="12.75">
      <c r="A8" s="39" t="s">
        <v>148</v>
      </c>
      <c r="B8">
        <f>E5*E6</f>
        <v>1.298</v>
      </c>
    </row>
    <row r="9" ht="12.75">
      <c r="A9" t="s">
        <v>149</v>
      </c>
    </row>
    <row r="10" spans="1:4" ht="12.75">
      <c r="A10" s="39" t="s">
        <v>150</v>
      </c>
      <c r="C10">
        <f>C5*E5</f>
        <v>165</v>
      </c>
      <c r="D10" t="s">
        <v>151</v>
      </c>
    </row>
    <row r="11" spans="1:4" ht="12.75">
      <c r="A11" s="39" t="s">
        <v>152</v>
      </c>
      <c r="C11">
        <f>C10/B8</f>
        <v>127.11864406779661</v>
      </c>
      <c r="D11" t="s">
        <v>151</v>
      </c>
    </row>
    <row r="12" ht="12.75">
      <c r="A12" t="s">
        <v>153</v>
      </c>
    </row>
    <row r="13" spans="1:4" ht="12.75">
      <c r="A13" s="39" t="s">
        <v>150</v>
      </c>
      <c r="C13">
        <f>C10*D5</f>
        <v>858000</v>
      </c>
      <c r="D13" t="s">
        <v>154</v>
      </c>
    </row>
    <row r="14" spans="1:4" ht="12.75">
      <c r="A14" s="39" t="s">
        <v>152</v>
      </c>
      <c r="C14">
        <f>C11*D5</f>
        <v>661016.9491525424</v>
      </c>
      <c r="D14" t="s">
        <v>154</v>
      </c>
    </row>
    <row r="16" spans="1:4" ht="12.75">
      <c r="A16" s="37" t="s">
        <v>155</v>
      </c>
      <c r="B16" s="37" t="s">
        <v>156</v>
      </c>
      <c r="C16" s="37" t="s">
        <v>157</v>
      </c>
      <c r="D16" s="37" t="s">
        <v>152</v>
      </c>
    </row>
    <row r="17" spans="1:4" ht="12.75">
      <c r="A17" s="38">
        <v>1</v>
      </c>
      <c r="B17" s="38">
        <v>150</v>
      </c>
      <c r="C17" s="38">
        <v>1000</v>
      </c>
      <c r="D17" s="38">
        <f>B17/C20</f>
        <v>115.56240369799691</v>
      </c>
    </row>
    <row r="18" spans="1:4" ht="12.75">
      <c r="A18" s="38">
        <v>2</v>
      </c>
      <c r="B18" s="38">
        <v>200</v>
      </c>
      <c r="C18" s="38">
        <v>1100</v>
      </c>
      <c r="D18" s="38">
        <f>B18/C20</f>
        <v>154.08320493066256</v>
      </c>
    </row>
    <row r="20" spans="2:3" ht="12.75">
      <c r="B20" t="s">
        <v>158</v>
      </c>
      <c r="C20" s="40">
        <f>B8</f>
        <v>1.298</v>
      </c>
    </row>
    <row r="22" ht="12.75">
      <c r="A22" t="s">
        <v>159</v>
      </c>
    </row>
    <row r="23" spans="1:2" ht="12.75">
      <c r="A23">
        <f>D18*(365*24-C18)</f>
        <v>1180277.3497688752</v>
      </c>
      <c r="B23" t="s">
        <v>101</v>
      </c>
    </row>
    <row r="25" spans="1:4" ht="12.75">
      <c r="A25" t="s">
        <v>160</v>
      </c>
      <c r="C25" s="41" t="s">
        <v>161</v>
      </c>
      <c r="D25" s="42">
        <f>B17/C20/D18</f>
        <v>0.75</v>
      </c>
    </row>
    <row r="26" spans="1:4" ht="12.75">
      <c r="A26" t="s">
        <v>162</v>
      </c>
      <c r="D26">
        <f>B17/C20</f>
        <v>115.56240369799691</v>
      </c>
    </row>
    <row r="28" spans="1:2" ht="14.25">
      <c r="A28" s="41" t="s">
        <v>163</v>
      </c>
      <c r="B28" s="42">
        <f>(365*24-1100)/(365*24-1000)</f>
        <v>0.9871134020618557</v>
      </c>
    </row>
    <row r="29" spans="1:2" ht="12.75">
      <c r="A29" s="41" t="s">
        <v>164</v>
      </c>
      <c r="B29" s="42">
        <f>B28*D25</f>
        <v>0.7403350515463918</v>
      </c>
    </row>
    <row r="30" ht="12.75">
      <c r="A30" t="s">
        <v>165</v>
      </c>
    </row>
    <row r="31" spans="1:2" ht="12.75">
      <c r="A31">
        <f>A23*B29</f>
        <v>873800.6925801788</v>
      </c>
      <c r="B31" t="s">
        <v>101</v>
      </c>
    </row>
    <row r="33" spans="1:3" ht="12.75">
      <c r="A33" s="43" t="s">
        <v>166</v>
      </c>
      <c r="B33" s="38">
        <v>1</v>
      </c>
      <c r="C33" s="38">
        <v>2</v>
      </c>
    </row>
    <row r="34" spans="1:3" ht="12.75">
      <c r="A34" s="43" t="s">
        <v>167</v>
      </c>
      <c r="B34" s="38">
        <f>B17*24</f>
        <v>3600</v>
      </c>
      <c r="C34" s="38">
        <f>B18*24</f>
        <v>4800</v>
      </c>
    </row>
    <row r="35" spans="1:3" ht="12.75">
      <c r="A35" s="43" t="s">
        <v>168</v>
      </c>
      <c r="B35" s="38">
        <f>E5</f>
        <v>1.1</v>
      </c>
      <c r="C35" s="38">
        <f>E6</f>
        <v>1.18</v>
      </c>
    </row>
    <row r="37" spans="1:3" ht="12.75">
      <c r="A37" t="s">
        <v>169</v>
      </c>
      <c r="C37" s="42">
        <f>A23/315</f>
        <v>3746.9122214884924</v>
      </c>
    </row>
    <row r="39" spans="1:2" ht="12.75">
      <c r="A39" s="41" t="s">
        <v>170</v>
      </c>
      <c r="B39" s="42">
        <f>B34/(C37*B35)</f>
        <v>0.8734464751958224</v>
      </c>
    </row>
    <row r="40" spans="1:2" ht="12.75">
      <c r="A40" s="41" t="s">
        <v>171</v>
      </c>
      <c r="B40" s="42">
        <f>C34/(C37*C35)</f>
        <v>1.0856396866840734</v>
      </c>
    </row>
    <row r="41" ht="12.75">
      <c r="A41" t="s">
        <v>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Тараканова</dc:creator>
  <cp:keywords/>
  <dc:description/>
  <cp:lastModifiedBy>Тараканова</cp:lastModifiedBy>
  <cp:lastPrinted>1998-04-07T22:15:00Z</cp:lastPrinted>
  <dcterms:created xsi:type="dcterms:W3CDTF">1998-04-07T14:17:42Z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