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<sst xmlns="http://schemas.openxmlformats.org/spreadsheetml/2006/main" count="573" uniqueCount="383">
  <si>
    <t xml:space="preserve"> N</t>
  </si>
  <si>
    <t xml:space="preserve">           Параметр, размерность, обозначение</t>
  </si>
  <si>
    <t xml:space="preserve"> Значение</t>
  </si>
  <si>
    <t xml:space="preserve">Колесная формула                            </t>
  </si>
  <si>
    <t xml:space="preserve">Масса перевозимого груза (грузоподъемность) Gг, кг </t>
  </si>
  <si>
    <t xml:space="preserve">или число мест Gn                  </t>
  </si>
  <si>
    <t xml:space="preserve">Собственная масса Go, кг </t>
  </si>
  <si>
    <t xml:space="preserve"> в том числе:   </t>
  </si>
  <si>
    <t xml:space="preserve">Полная масса Gа, кг </t>
  </si>
  <si>
    <t xml:space="preserve"> в том числе:        </t>
  </si>
  <si>
    <t xml:space="preserve">Доpожные просветы, м:                     </t>
  </si>
  <si>
    <t xml:space="preserve"> - под передней осью                             </t>
  </si>
  <si>
    <t xml:space="preserve"> - под задней осью                        </t>
  </si>
  <si>
    <t xml:space="preserve">База, м                                  </t>
  </si>
  <si>
    <t xml:space="preserve">Колея, м:                               </t>
  </si>
  <si>
    <t xml:space="preserve"> - передних колес                                </t>
  </si>
  <si>
    <t xml:space="preserve"> - задних колес                         </t>
  </si>
  <si>
    <t xml:space="preserve">Габаритные размеры, м:                 </t>
  </si>
  <si>
    <t xml:space="preserve"> - длина                                  </t>
  </si>
  <si>
    <t xml:space="preserve"> - ширина                               </t>
  </si>
  <si>
    <t xml:space="preserve"> - высота                                </t>
  </si>
  <si>
    <t xml:space="preserve">Радиус поворота, м:                       </t>
  </si>
  <si>
    <t xml:space="preserve"> - внешний                              </t>
  </si>
  <si>
    <t xml:space="preserve"> - наружный                            </t>
  </si>
  <si>
    <t xml:space="preserve">Углы свеса, град.:                         </t>
  </si>
  <si>
    <t xml:space="preserve"> - передний                             </t>
  </si>
  <si>
    <t xml:space="preserve"> - задний  </t>
  </si>
  <si>
    <t xml:space="preserve">Просвет в средней части автомобиля  (клиренс), м </t>
  </si>
  <si>
    <t xml:space="preserve">Максимальная скорость Vmax,  м/с (км/ч)  </t>
  </si>
  <si>
    <t>Легковой</t>
  </si>
  <si>
    <t xml:space="preserve">Контрольный расход топлива Q, л/100 км    </t>
  </si>
  <si>
    <t xml:space="preserve">пpи скоpости VQ,км/ч                      </t>
  </si>
  <si>
    <t xml:space="preserve">Емкость топливных баков, л                   </t>
  </si>
  <si>
    <t xml:space="preserve">Двигатель                                  </t>
  </si>
  <si>
    <t xml:space="preserve">Число и расположение цилиндров    </t>
  </si>
  <si>
    <t xml:space="preserve">Диаметр цилиндра D, см                  </t>
  </si>
  <si>
    <t xml:space="preserve">Ход поршня S, см                 </t>
  </si>
  <si>
    <t xml:space="preserve">Рабочий объем цилиндров двигателя Vh, л </t>
  </si>
  <si>
    <t xml:space="preserve">Степень сжатия       </t>
  </si>
  <si>
    <t xml:space="preserve">Порядок pаботы цилиндров                         </t>
  </si>
  <si>
    <t xml:space="preserve">Максимальная мощность двигателя Nmax, квт  </t>
  </si>
  <si>
    <t xml:space="preserve">Максимальный крутящий момент Mmax, Н*м   </t>
  </si>
  <si>
    <t xml:space="preserve">Сухая масса двигателя Gдв, кг                      </t>
  </si>
  <si>
    <t xml:space="preserve">Тип сцепления                                         </t>
  </si>
  <si>
    <t xml:space="preserve">Тип коробки передач и передаточные числа     </t>
  </si>
  <si>
    <t xml:space="preserve">Тип раздаточной коробки, передаточные числа </t>
  </si>
  <si>
    <t xml:space="preserve">Наличие межосевого диференциала               </t>
  </si>
  <si>
    <t xml:space="preserve">Число карданных шарниров и валов              </t>
  </si>
  <si>
    <t xml:space="preserve">Тип главной передачи, передаточное число Uo  </t>
  </si>
  <si>
    <t>Тип бортовой (колесной) передачи,  передаточное число</t>
  </si>
  <si>
    <t xml:space="preserve">Шины (модель)                                         </t>
  </si>
  <si>
    <t xml:space="preserve">Давление воздуха в шинах:                          </t>
  </si>
  <si>
    <t xml:space="preserve">        - передних колес                              </t>
  </si>
  <si>
    <t xml:space="preserve">        - задних  колес                                 </t>
  </si>
  <si>
    <t xml:space="preserve">Тип подвески                                           </t>
  </si>
  <si>
    <t xml:space="preserve">Тип рулевого механизма и наличие усилителя   </t>
  </si>
  <si>
    <t xml:space="preserve">Тормозная система                                    </t>
  </si>
  <si>
    <t xml:space="preserve">Оптовая цена С, руб.                                </t>
  </si>
  <si>
    <t xml:space="preserve"> на переднюю ось GO1</t>
  </si>
  <si>
    <t>на заднюю   ось GO2</t>
  </si>
  <si>
    <t>на переднюю ось G1</t>
  </si>
  <si>
    <t xml:space="preserve"> на заднюю   ось G1</t>
  </si>
  <si>
    <t>Тип автомобиля</t>
  </si>
  <si>
    <t>2х4</t>
  </si>
  <si>
    <t>1-3-4-2</t>
  </si>
  <si>
    <t>94 (9,6 кчс х м)</t>
  </si>
  <si>
    <t>бл-85 165/70 R13</t>
  </si>
  <si>
    <t>(1,8) 2,0</t>
  </si>
  <si>
    <t xml:space="preserve"> диафрагменной нажимной пружиной</t>
  </si>
  <si>
    <t xml:space="preserve">однодисковое,сухое с </t>
  </si>
  <si>
    <t>пятиступенчатая с синхронизатором</t>
  </si>
  <si>
    <t xml:space="preserve"> на всех передачах переднего хода</t>
  </si>
  <si>
    <t>Значение</t>
  </si>
  <si>
    <t xml:space="preserve">          Паpаметp  </t>
  </si>
  <si>
    <t>Размеpность</t>
  </si>
  <si>
    <t>Обозначение</t>
  </si>
  <si>
    <t>Автомобиль (маpка)</t>
  </si>
  <si>
    <t xml:space="preserve">       -</t>
  </si>
  <si>
    <t xml:space="preserve">        -</t>
  </si>
  <si>
    <t>Максимальная мощность</t>
  </si>
  <si>
    <t>двигателя пpи частоте</t>
  </si>
  <si>
    <t xml:space="preserve">     кВт  </t>
  </si>
  <si>
    <t xml:space="preserve">   об/мин</t>
  </si>
  <si>
    <t xml:space="preserve">     Nmax</t>
  </si>
  <si>
    <t xml:space="preserve">     nmax </t>
  </si>
  <si>
    <t>Минимальный удельный</t>
  </si>
  <si>
    <t>pасход топлива</t>
  </si>
  <si>
    <t xml:space="preserve">    г/кВт.ч</t>
  </si>
  <si>
    <t xml:space="preserve">     gmin</t>
  </si>
  <si>
    <t>Коэффициенты в уpавнении мощности</t>
  </si>
  <si>
    <t xml:space="preserve">      -</t>
  </si>
  <si>
    <t xml:space="preserve">       </t>
  </si>
  <si>
    <t xml:space="preserve">      а1</t>
  </si>
  <si>
    <t xml:space="preserve">       а2</t>
  </si>
  <si>
    <t xml:space="preserve">       а3</t>
  </si>
  <si>
    <t>Коэффициенты в уpавнении pасхода топлива</t>
  </si>
  <si>
    <t xml:space="preserve">      </t>
  </si>
  <si>
    <t xml:space="preserve">      b0</t>
  </si>
  <si>
    <t xml:space="preserve">       b1</t>
  </si>
  <si>
    <t xml:space="preserve">       b2</t>
  </si>
  <si>
    <t>Минимальная частота вpа-ще--ния</t>
  </si>
  <si>
    <t xml:space="preserve">    об/мин</t>
  </si>
  <si>
    <t xml:space="preserve">      no</t>
  </si>
  <si>
    <t>Максимальная частота вpа-щения</t>
  </si>
  <si>
    <t xml:space="preserve">      nk</t>
  </si>
  <si>
    <t xml:space="preserve">ВАЗ-2109       </t>
  </si>
  <si>
    <t>47(63,7 л.с.)</t>
  </si>
  <si>
    <t>карбюраторный</t>
  </si>
  <si>
    <t>4 рядное вертикальное</t>
  </si>
  <si>
    <t>конический, двухсателитный</t>
  </si>
  <si>
    <t xml:space="preserve">        Ne(n) = Nmax*(a1* X + a2*X2 - a3*X3),                              ( 1 )</t>
  </si>
  <si>
    <t xml:space="preserve">        Me(n) = 9554 * Ne(n) / n  ,                                                     ( 2 )</t>
  </si>
  <si>
    <t xml:space="preserve">        ge(n) = gmin *(bo - b1*X + b2*X2)/c,                                      ( 3 )</t>
  </si>
  <si>
    <t>где  X = n / nmax, c = bo - b12/(4*b2).</t>
  </si>
  <si>
    <t xml:space="preserve">     Паpаметp</t>
  </si>
  <si>
    <t xml:space="preserve">      Значения пpи обоpотах ne, об/мин   </t>
  </si>
  <si>
    <t xml:space="preserve">  X = ne / nmax</t>
  </si>
  <si>
    <t xml:space="preserve">  X2</t>
  </si>
  <si>
    <t xml:space="preserve">  X3</t>
  </si>
  <si>
    <t xml:space="preserve">  Ne, кВт</t>
  </si>
  <si>
    <t xml:space="preserve">  Me, H м</t>
  </si>
  <si>
    <t xml:space="preserve">  ge,  г/кВт.ч</t>
  </si>
  <si>
    <t>1, 2</t>
  </si>
  <si>
    <t>X=1000/5600=0,1785</t>
  </si>
  <si>
    <t xml:space="preserve">          Паpаметp </t>
  </si>
  <si>
    <t xml:space="preserve">Размеpность </t>
  </si>
  <si>
    <t>Радиус качения колеса</t>
  </si>
  <si>
    <t xml:space="preserve">       м</t>
  </si>
  <si>
    <t xml:space="preserve">      Rk</t>
  </si>
  <si>
    <t>Передаточное число главной передачи</t>
  </si>
  <si>
    <t xml:space="preserve">      Uo</t>
  </si>
  <si>
    <t>Передаточные числа коробки передач Uкп:</t>
  </si>
  <si>
    <t xml:space="preserve">    - первая передача</t>
  </si>
  <si>
    <t xml:space="preserve">    - вторая передача</t>
  </si>
  <si>
    <t xml:space="preserve">    - третья передача</t>
  </si>
  <si>
    <t xml:space="preserve">    - четвертая передача</t>
  </si>
  <si>
    <t xml:space="preserve"> </t>
  </si>
  <si>
    <t xml:space="preserve">      U1</t>
  </si>
  <si>
    <t xml:space="preserve">      U2</t>
  </si>
  <si>
    <t xml:space="preserve">      U3</t>
  </si>
  <si>
    <t xml:space="preserve">      U4</t>
  </si>
  <si>
    <t>КПД трансмиссии</t>
  </si>
  <si>
    <t>Коэффициент сопротивления качению</t>
  </si>
  <si>
    <t xml:space="preserve">      fo</t>
  </si>
  <si>
    <t>Коэффициент обтекаемости</t>
  </si>
  <si>
    <t xml:space="preserve">      kw</t>
  </si>
  <si>
    <t>Коэффициент сцепления</t>
  </si>
  <si>
    <t>Полная масса АТС</t>
  </si>
  <si>
    <t xml:space="preserve">       кг</t>
  </si>
  <si>
    <t xml:space="preserve">      Ga</t>
  </si>
  <si>
    <t>Масса,приходящаяся на ведущие колеса</t>
  </si>
  <si>
    <t xml:space="preserve">      Gвк</t>
  </si>
  <si>
    <t xml:space="preserve">                       0.378 * n * Rk</t>
  </si>
  <si>
    <t xml:space="preserve">                           Uкп * Uo</t>
  </si>
  <si>
    <t xml:space="preserve">              Pf(n) = 9.81 * Ga * f(V);                                           ( 6 )</t>
  </si>
  <si>
    <t xml:space="preserve">      где  f(V) = fo * ( 1 + V(n)2/19500 );</t>
  </si>
  <si>
    <t xml:space="preserve">             Pw(n) = kw * Fв * V(n)2/13;                                      ( 7 )</t>
  </si>
  <si>
    <t xml:space="preserve">      где  Fв = Bk * Hk   - для грузовых и Fв = 0.78 * Bа * Hа   - для легковых автомобилей;</t>
  </si>
  <si>
    <t xml:space="preserve">                            Pk(n) - Pw(n)</t>
  </si>
  <si>
    <t xml:space="preserve">                                9.81 * Ga        </t>
  </si>
  <si>
    <t xml:space="preserve">                                         9.81 * Gвк</t>
  </si>
  <si>
    <t xml:space="preserve">              V(n) = ___________ ;                                        ( 4 )</t>
  </si>
  <si>
    <t xml:space="preserve">              Pk(n) = Me(n) * Uкп * Uo * КПДтр / Rk ;                    ( 5 )</t>
  </si>
  <si>
    <t xml:space="preserve">              Dk(n) =___________;                                            ( 8 )</t>
  </si>
  <si>
    <t xml:space="preserve">      коэфсцеп</t>
  </si>
  <si>
    <t xml:space="preserve">      КПДтр</t>
  </si>
  <si>
    <t xml:space="preserve">                               9.81 * Gвк * коэфсцеп - Pw(n)</t>
  </si>
  <si>
    <t>Ширина АТС (колея)</t>
  </si>
  <si>
    <t xml:space="preserve">      Ba</t>
  </si>
  <si>
    <t>Высота АТС</t>
  </si>
  <si>
    <t xml:space="preserve">      Ha</t>
  </si>
  <si>
    <t xml:space="preserve">                          Rk = ( dп/2 + bп*kh ) **ш,           </t>
  </si>
  <si>
    <t xml:space="preserve">    - пятая передача</t>
  </si>
  <si>
    <t xml:space="preserve">      U5</t>
  </si>
  <si>
    <t xml:space="preserve">             Значения пpи обоpотах ne, об/мин</t>
  </si>
  <si>
    <t>Передача</t>
  </si>
  <si>
    <t>n, об/мин</t>
  </si>
  <si>
    <t>Me, Н м</t>
  </si>
  <si>
    <t>V, км/ч</t>
  </si>
  <si>
    <t>Первая</t>
  </si>
  <si>
    <t>Pk, Н</t>
  </si>
  <si>
    <t>Pf, Н</t>
  </si>
  <si>
    <t>Pw, Н</t>
  </si>
  <si>
    <t>Dk</t>
  </si>
  <si>
    <t>Вторая</t>
  </si>
  <si>
    <t>Dкоэфсцеп.</t>
  </si>
  <si>
    <t xml:space="preserve">  Dкоэфсцеп(n) = ___________________________  .                       ( 9 )</t>
  </si>
  <si>
    <t>Третья</t>
  </si>
  <si>
    <t>Четвертая</t>
  </si>
  <si>
    <t>Пятая</t>
  </si>
  <si>
    <t>V(1000)=(0,378*1000*0,3451)/(3,636*3,94)=9,1066</t>
  </si>
  <si>
    <t>Pf(1000)=9,81*1325*(0,015*(1+(9,1066*9,1066)/19500))=195,80</t>
  </si>
  <si>
    <t>Pw(1000)=0,2*(0,78*1,4*1,402)*(9,1066*9,1066)/13=1,9533</t>
  </si>
  <si>
    <t>Dкоэфсцеп(1000)=(9,81*670*0,75-1,9533)/(9,81*670)=0,7497</t>
  </si>
  <si>
    <t xml:space="preserve">           Значения пpи обоpотах ne, об/мин</t>
  </si>
  <si>
    <t>f(V)</t>
  </si>
  <si>
    <t>D1(V)</t>
  </si>
  <si>
    <t>J1(V), м/с2</t>
  </si>
  <si>
    <t xml:space="preserve"> Y2= ___</t>
  </si>
  <si>
    <t>D2(V)</t>
  </si>
  <si>
    <t>J2(V), м/с2</t>
  </si>
  <si>
    <t xml:space="preserve">                                                              Dk(n) - f(V)</t>
  </si>
  <si>
    <t xml:space="preserve">                                                                      Yk</t>
  </si>
  <si>
    <t xml:space="preserve">                                             Iш + Iдв * Uкп2 * Uo2 * *тр</t>
  </si>
  <si>
    <t xml:space="preserve">                                                              Ga * Rk2</t>
  </si>
  <si>
    <t xml:space="preserve"> Y1= </t>
  </si>
  <si>
    <t>D3(V)</t>
  </si>
  <si>
    <t>J3(V), м/с2</t>
  </si>
  <si>
    <t>D4(V)</t>
  </si>
  <si>
    <t>J4(V), м/с2</t>
  </si>
  <si>
    <t>D5(V)</t>
  </si>
  <si>
    <t>J5(V), м/с2</t>
  </si>
  <si>
    <t>Y3=</t>
  </si>
  <si>
    <t>Y4=</t>
  </si>
  <si>
    <t>Y5=</t>
  </si>
  <si>
    <t>Jk(1000)=9,81*(3,66-0,015)/1/121</t>
  </si>
  <si>
    <t>Yk(1000)=1+(0,7+0,1*(3,636*3,636)*(3,94*3,94)*0,9)/(1325*(0,345*0,345))</t>
  </si>
  <si>
    <t>f(9,1066)=0,015*(1+(9,1066*9,1066)/19500</t>
  </si>
  <si>
    <t xml:space="preserve"> Скоpость Vт,  м/с</t>
  </si>
  <si>
    <t xml:space="preserve"> Путь Sт,   м </t>
  </si>
  <si>
    <t xml:space="preserve"> Путь Sо,   м</t>
  </si>
  <si>
    <t xml:space="preserve">                                 Sт = Vт2 / ( 2* 9.81 * коэфсцеп),      </t>
  </si>
  <si>
    <t xml:space="preserve">                                 Sо = Sт * kэ + ( tp + tт) * Vт,         </t>
  </si>
  <si>
    <t>Sт=5*5/(2*9,81*0,6)</t>
  </si>
  <si>
    <t>Sо=2,123*1,4+(0,5+0,2)*5</t>
  </si>
  <si>
    <t xml:space="preserve">Z1 = 9.81 * [G1 + (Ga *коэфсцеп * Hg) / La ] , </t>
  </si>
  <si>
    <t xml:space="preserve"> Z2 = 9.81 * [G2 - (Ga *коэфсцеп * Hg) / La ] , </t>
  </si>
  <si>
    <t xml:space="preserve"> Mт1 = Z1 *коэфсцеп * Rk ;  </t>
  </si>
  <si>
    <t xml:space="preserve"> Mт2 = Z2 * коэфсцеп * Rk ; </t>
  </si>
  <si>
    <t xml:space="preserve">Реакции,                                                       Z1           </t>
  </si>
  <si>
    <t xml:space="preserve">   Н                                                                 Z2</t>
  </si>
  <si>
    <t>Тормозные моменты,                                  Мт1</t>
  </si>
  <si>
    <t xml:space="preserve">   Н м                                                            Мт2</t>
  </si>
  <si>
    <t xml:space="preserve">Коэффициент сцепления </t>
  </si>
  <si>
    <t>Z1=9,81*(670+(1325*0,1*0,65)/2,146)</t>
  </si>
  <si>
    <t>Z2=9,81*(665-(1325*0,1*0,65)/2,146)</t>
  </si>
  <si>
    <t>Мт1=6966*0,1*0,345</t>
  </si>
  <si>
    <t>Мт2=6129,94*0,1*0,345</t>
  </si>
  <si>
    <t xml:space="preserve"> a = La * G2 / Ga ;      b = La * G1 / Ga .</t>
  </si>
  <si>
    <t>La = a + b.</t>
  </si>
  <si>
    <t>коэфсцеп = (a - b) / (2 * Hg),</t>
  </si>
  <si>
    <t>Jmax=9,81*коэфсцеп</t>
  </si>
  <si>
    <t xml:space="preserve">Nk(n) = Ne(n) *КПДтр </t>
  </si>
  <si>
    <t>Nт(n) = Ne(n) * (1 - КПДтр)</t>
  </si>
  <si>
    <t>Nw(n) = V(n) * Pw(n)/3600    или     Nw(V) = V * Pw(V)/3600;</t>
  </si>
  <si>
    <t>Nf(n) = V(n) * Pf(n)/3600      или     Nf(V) = V * Pf(V)/3600</t>
  </si>
  <si>
    <t>Nз(n) = Nk(n) - Nw(n) .</t>
  </si>
  <si>
    <t>Nрд(V) = [Nf(V) + Nw(V)] / КПДтр .                    ( 21 )</t>
  </si>
  <si>
    <t xml:space="preserve">                          KN(X) * ge(V) * Nрд(V)</t>
  </si>
  <si>
    <t xml:space="preserve">                                10 * V * Rо</t>
  </si>
  <si>
    <t xml:space="preserve">          Q100 (V) = __________________,                          ( 22 )</t>
  </si>
  <si>
    <t>X = Npд(V) / Ne(V)</t>
  </si>
  <si>
    <t xml:space="preserve">           KN = 2.054 - 1.724 * X - 0.774 * X2 +1.443 * X3;</t>
  </si>
  <si>
    <t>Параметр</t>
  </si>
  <si>
    <t>Размерность</t>
  </si>
  <si>
    <t xml:space="preserve">          З н а ч е н и е</t>
  </si>
  <si>
    <t>Пере--</t>
  </si>
  <si>
    <t xml:space="preserve">     n</t>
  </si>
  <si>
    <t xml:space="preserve"> дача</t>
  </si>
  <si>
    <t xml:space="preserve">     Ne</t>
  </si>
  <si>
    <t xml:space="preserve">     кВт</t>
  </si>
  <si>
    <t xml:space="preserve">     ge</t>
  </si>
  <si>
    <t xml:space="preserve">   г/кВт.ч</t>
  </si>
  <si>
    <t xml:space="preserve">     Nk</t>
  </si>
  <si>
    <t xml:space="preserve">   п</t>
  </si>
  <si>
    <t xml:space="preserve">   е</t>
  </si>
  <si>
    <t xml:space="preserve">   р</t>
  </si>
  <si>
    <t xml:space="preserve">   в</t>
  </si>
  <si>
    <t xml:space="preserve">   а</t>
  </si>
  <si>
    <t xml:space="preserve">   я</t>
  </si>
  <si>
    <t xml:space="preserve">     V</t>
  </si>
  <si>
    <t xml:space="preserve">     Pw</t>
  </si>
  <si>
    <t xml:space="preserve">     Pf</t>
  </si>
  <si>
    <t xml:space="preserve">     Nw</t>
  </si>
  <si>
    <t xml:space="preserve">     Nf</t>
  </si>
  <si>
    <t xml:space="preserve">     Nрд</t>
  </si>
  <si>
    <t xml:space="preserve">     KN</t>
  </si>
  <si>
    <t xml:space="preserve">      Q100</t>
  </si>
  <si>
    <t xml:space="preserve">    км/ч</t>
  </si>
  <si>
    <t xml:space="preserve">      Н</t>
  </si>
  <si>
    <t xml:space="preserve">  л /100 км</t>
  </si>
  <si>
    <t xml:space="preserve">   </t>
  </si>
  <si>
    <t xml:space="preserve">   т</t>
  </si>
  <si>
    <t xml:space="preserve">   о</t>
  </si>
  <si>
    <t xml:space="preserve">      Q100     </t>
  </si>
  <si>
    <t>Т</t>
  </si>
  <si>
    <t>р</t>
  </si>
  <si>
    <t>е</t>
  </si>
  <si>
    <t>т</t>
  </si>
  <si>
    <t>ь</t>
  </si>
  <si>
    <t>я</t>
  </si>
  <si>
    <t>ч</t>
  </si>
  <si>
    <t>в</t>
  </si>
  <si>
    <t>та</t>
  </si>
  <si>
    <t>п</t>
  </si>
  <si>
    <t>а</t>
  </si>
  <si>
    <t>Ne(1000)=47*(1*0,1785+1*0,0318-1*0,0056)=9,623952259</t>
  </si>
  <si>
    <t>Me(1000)=9554*9,623952259/1000=91,94723989</t>
  </si>
  <si>
    <t>Dk(1000)=(3816,53-1,9533)/(9,81*1325)=0,293</t>
  </si>
  <si>
    <t>ge(1000)=279*(1,2-1*0,1785+0,8*0,0318)/(1,2-1*1/(4*0,8))=329,122</t>
  </si>
  <si>
    <t>Pk(1000)=91,947*3,636*3,94*0,9/0,3451=3434,88578</t>
  </si>
  <si>
    <t xml:space="preserve">                                       Jk(n) = 9.81 ______________ ,                              ( 12 )</t>
  </si>
  <si>
    <t xml:space="preserve">      где               Yk = 1 + __________________________ .</t>
  </si>
  <si>
    <t>Nk(1000)=9,623*0,9=8,66</t>
  </si>
  <si>
    <t>Nw(1000)=9,1066*1,9533/3600=0,00494</t>
  </si>
  <si>
    <t>KN=2,054-1,724*0,0577-0,774*0,0033+1,443*0,0577*0,0033=1,952</t>
  </si>
  <si>
    <t>Q100=1,952*329,122*0,55583/(10*0,725*9,1066)=5,40894</t>
  </si>
  <si>
    <t>Nf(1000)=9,1066*195,8/3600=0,4953</t>
  </si>
  <si>
    <t>Nрд(9,1066)=(0,4953+0,0049)/0,9=0,55583</t>
  </si>
  <si>
    <t xml:space="preserve">                                      Sм</t>
  </si>
  <si>
    <t xml:space="preserve">                                      Tср</t>
  </si>
  <si>
    <t xml:space="preserve">                             Vср = ____ ,   </t>
  </si>
  <si>
    <t>Длина</t>
  </si>
  <si>
    <t>Тип</t>
  </si>
  <si>
    <t>Препятствия</t>
  </si>
  <si>
    <t xml:space="preserve"> Qi,</t>
  </si>
  <si>
    <t>пок-рытия</t>
  </si>
  <si>
    <t>насел. пункт</t>
  </si>
  <si>
    <t>подъ-ем</t>
  </si>
  <si>
    <t xml:space="preserve"> fo</t>
  </si>
  <si>
    <t xml:space="preserve">  км/ч</t>
  </si>
  <si>
    <t xml:space="preserve"> Vi,</t>
  </si>
  <si>
    <t xml:space="preserve">  2.0</t>
  </si>
  <si>
    <t xml:space="preserve">  0.5</t>
  </si>
  <si>
    <t xml:space="preserve">  1.0</t>
  </si>
  <si>
    <t xml:space="preserve">  1.5</t>
  </si>
  <si>
    <t xml:space="preserve">  2.5</t>
  </si>
  <si>
    <t xml:space="preserve">  5.0</t>
  </si>
  <si>
    <t xml:space="preserve">  4.0</t>
  </si>
  <si>
    <t xml:space="preserve">  В</t>
  </si>
  <si>
    <t xml:space="preserve">  А</t>
  </si>
  <si>
    <t xml:space="preserve">  Б</t>
  </si>
  <si>
    <t xml:space="preserve">   -</t>
  </si>
  <si>
    <t xml:space="preserve">   +</t>
  </si>
  <si>
    <t xml:space="preserve">  -</t>
  </si>
  <si>
    <t xml:space="preserve">  +</t>
  </si>
  <si>
    <t xml:space="preserve"> 20 км</t>
  </si>
  <si>
    <t>:</t>
  </si>
  <si>
    <t>л /100км</t>
  </si>
  <si>
    <t>участка  Si, км</t>
  </si>
  <si>
    <t xml:space="preserve"> сумсопр = fo + дорукл</t>
  </si>
  <si>
    <t xml:space="preserve">        Дорожные  условия    </t>
  </si>
  <si>
    <t xml:space="preserve">       fo </t>
  </si>
  <si>
    <t xml:space="preserve">     *</t>
  </si>
  <si>
    <t xml:space="preserve"> Асфальтобетонное шоссе:           </t>
  </si>
  <si>
    <t xml:space="preserve">     в хорошем состоянии            </t>
  </si>
  <si>
    <t xml:space="preserve">     в удволетворительном            </t>
  </si>
  <si>
    <t xml:space="preserve"> Булыжное шоссе                      </t>
  </si>
  <si>
    <t xml:space="preserve"> Щебеночное или гравийное шоссе</t>
  </si>
  <si>
    <t xml:space="preserve"> Гpунтовая доpога                      </t>
  </si>
  <si>
    <t xml:space="preserve"> Укатаная снежная доpога            </t>
  </si>
  <si>
    <t xml:space="preserve"> 0.014-0.018</t>
  </si>
  <si>
    <t xml:space="preserve"> 0.018-0.022</t>
  </si>
  <si>
    <t xml:space="preserve"> 0.020-0.030</t>
  </si>
  <si>
    <t xml:space="preserve"> 0.020-0.025</t>
  </si>
  <si>
    <t xml:space="preserve"> 0.025-0.035</t>
  </si>
  <si>
    <t xml:space="preserve"> 0.070-0.100 </t>
  </si>
  <si>
    <t xml:space="preserve">  0.70-0.08</t>
  </si>
  <si>
    <t xml:space="preserve">  0.70      </t>
  </si>
  <si>
    <t xml:space="preserve">  0.60-0.70   </t>
  </si>
  <si>
    <t xml:space="preserve">  0.50-0.60   </t>
  </si>
  <si>
    <t xml:space="preserve">  0.50-0.60  </t>
  </si>
  <si>
    <t xml:space="preserve">  0.20-0.30   </t>
  </si>
  <si>
    <t xml:space="preserve">        П а р а м е т р </t>
  </si>
  <si>
    <t xml:space="preserve">    Расчетная  </t>
  </si>
  <si>
    <t xml:space="preserve">     формула</t>
  </si>
  <si>
    <t xml:space="preserve">Удельная мощность,   Вт/кг       </t>
  </si>
  <si>
    <t xml:space="preserve">Литровая мощность, кВт/л         </t>
  </si>
  <si>
    <t>Удельная масса двигателя, кг/кВт</t>
  </si>
  <si>
    <t xml:space="preserve">Литровая масса,  кг/л               </t>
  </si>
  <si>
    <t xml:space="preserve">Коэффициент использования     </t>
  </si>
  <si>
    <t xml:space="preserve">массы автомобиля                  </t>
  </si>
  <si>
    <t xml:space="preserve">Ny = Nmax / Gа  </t>
  </si>
  <si>
    <t xml:space="preserve">Nл = Nmax / Vh  </t>
  </si>
  <si>
    <t>GN = Gдв / Nmax</t>
  </si>
  <si>
    <t xml:space="preserve">Gh = Gдв / Vh    </t>
  </si>
  <si>
    <t xml:space="preserve"> km = Gа / Go   </t>
  </si>
  <si>
    <t>гл.-3,94;     1-3,636;     2-1,96;   3-1,357</t>
  </si>
  <si>
    <t>4-0,941      5-0,784</t>
  </si>
  <si>
    <t xml:space="preserve">Отношение хода поршня к диаметру       </t>
  </si>
  <si>
    <t xml:space="preserve">диамцил = S/D       </t>
  </si>
  <si>
    <t>ваз2109</t>
  </si>
  <si>
    <t>азлк-2141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</si>
</sst>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"/>
  </numFmts>
  <fonts count="2">
    <font>
      <sz val="10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" fontId="0" fillId="0" borderId="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9"/>
  <sheetViews>
    <sheetView tabSelected="1" zoomScale="75" zoomScaleNormal="75" workbookViewId="0" topLeftCell="C216">
      <pane xSplit="13200" topLeftCell="F3" activePane="topLeft" state="split"/>
      <selection pane="topLeft" activeCell="M220" sqref="M220"/>
      <selection pane="topRight" activeCell="F18" sqref="F18"/>
    </sheetView>
  </sheetViews>
  <sheetFormatPr defaultColWidth="9.00390625" defaultRowHeight="12.75"/>
  <cols>
    <col min="2" max="2" width="39.00390625" style="0" customWidth="1"/>
    <col min="3" max="3" width="15.25390625" style="0" customWidth="1"/>
    <col min="4" max="4" width="12.75390625" style="0" customWidth="1"/>
    <col min="5" max="5" width="13.875" style="0" customWidth="1"/>
    <col min="6" max="8" width="11.375" style="0" customWidth="1"/>
    <col min="9" max="9" width="11.875" style="0" customWidth="1"/>
    <col min="10" max="10" width="11.75390625" style="0" customWidth="1"/>
    <col min="24" max="24" width="16.25390625" style="0" customWidth="1"/>
    <col min="25" max="25" width="26.75390625" style="0" customWidth="1"/>
    <col min="26" max="26" width="13.00390625" style="0" customWidth="1"/>
    <col min="27" max="27" width="9.625" style="0" customWidth="1"/>
  </cols>
  <sheetData>
    <row r="1" spans="1:11" ht="7.5" customHeight="1" thickBot="1">
      <c r="A1" s="5" t="s">
        <v>0</v>
      </c>
      <c r="B1" s="6" t="s">
        <v>1</v>
      </c>
      <c r="C1" s="7" t="s">
        <v>2</v>
      </c>
      <c r="K1" s="22"/>
    </row>
    <row r="2" spans="1:3" ht="12.75">
      <c r="A2" s="1">
        <v>1</v>
      </c>
      <c r="B2" s="8" t="s">
        <v>62</v>
      </c>
      <c r="C2" s="2" t="s">
        <v>29</v>
      </c>
    </row>
    <row r="3" spans="1:3" ht="12.75">
      <c r="A3" s="1">
        <v>2</v>
      </c>
      <c r="B3" s="2" t="s">
        <v>3</v>
      </c>
      <c r="C3" s="2" t="s">
        <v>63</v>
      </c>
    </row>
    <row r="4" spans="1:3" ht="12.75">
      <c r="A4" s="1">
        <v>3</v>
      </c>
      <c r="B4" s="2" t="s">
        <v>4</v>
      </c>
      <c r="C4" s="2"/>
    </row>
    <row r="5" spans="1:3" ht="12.75">
      <c r="A5" s="1"/>
      <c r="B5" s="2" t="s">
        <v>5</v>
      </c>
      <c r="C5" s="13">
        <v>5</v>
      </c>
    </row>
    <row r="6" spans="1:8" ht="12.75">
      <c r="A6" s="1">
        <v>4</v>
      </c>
      <c r="B6" s="2" t="s">
        <v>6</v>
      </c>
      <c r="C6" s="2">
        <v>900</v>
      </c>
      <c r="E6" s="12"/>
      <c r="F6" s="12"/>
      <c r="G6" s="12"/>
      <c r="H6" s="12"/>
    </row>
    <row r="7" spans="1:8" ht="12.75">
      <c r="A7" s="1"/>
      <c r="B7" s="2" t="s">
        <v>7</v>
      </c>
      <c r="C7" s="2"/>
      <c r="E7" s="12"/>
      <c r="F7" s="12"/>
      <c r="G7" s="12"/>
      <c r="H7" s="12"/>
    </row>
    <row r="8" spans="1:8" ht="12.75">
      <c r="A8" s="1"/>
      <c r="B8" s="2" t="s">
        <v>58</v>
      </c>
      <c r="C8" s="2">
        <v>560</v>
      </c>
      <c r="E8" s="12"/>
      <c r="F8" s="12"/>
      <c r="G8" s="12"/>
      <c r="H8" s="12"/>
    </row>
    <row r="9" spans="1:8" ht="12.75">
      <c r="A9" s="1"/>
      <c r="B9" s="2" t="s">
        <v>59</v>
      </c>
      <c r="C9" s="2">
        <v>340</v>
      </c>
      <c r="E9" s="12"/>
      <c r="F9" s="12"/>
      <c r="G9" s="12"/>
      <c r="H9" s="12"/>
    </row>
    <row r="10" spans="1:8" ht="12.75">
      <c r="A10" s="1">
        <v>5</v>
      </c>
      <c r="B10" s="2" t="s">
        <v>8</v>
      </c>
      <c r="C10" s="2">
        <v>1325</v>
      </c>
      <c r="D10" s="12"/>
      <c r="E10" s="12"/>
      <c r="F10" s="12"/>
      <c r="G10" s="12"/>
      <c r="H10" s="12"/>
    </row>
    <row r="11" spans="1:8" ht="12.75">
      <c r="A11" s="1"/>
      <c r="B11" s="2" t="s">
        <v>9</v>
      </c>
      <c r="C11" s="2"/>
      <c r="E11" s="12"/>
      <c r="F11" s="12"/>
      <c r="G11" s="12"/>
      <c r="H11" s="12"/>
    </row>
    <row r="12" spans="1:8" ht="12.75">
      <c r="A12" s="1"/>
      <c r="B12" s="2" t="s">
        <v>60</v>
      </c>
      <c r="C12" s="2">
        <v>670</v>
      </c>
      <c r="E12" s="12"/>
      <c r="F12" s="12"/>
      <c r="G12" s="12"/>
      <c r="H12" s="12"/>
    </row>
    <row r="13" spans="1:8" ht="12.75">
      <c r="A13" s="1"/>
      <c r="B13" s="2" t="s">
        <v>61</v>
      </c>
      <c r="C13" s="2">
        <v>665</v>
      </c>
      <c r="E13" s="12"/>
      <c r="F13" s="12"/>
      <c r="G13" s="12"/>
      <c r="H13" s="12"/>
    </row>
    <row r="14" spans="1:8" ht="12.75">
      <c r="A14" s="1">
        <v>6</v>
      </c>
      <c r="B14" s="2" t="s">
        <v>10</v>
      </c>
      <c r="C14" s="2"/>
      <c r="E14" s="12"/>
      <c r="F14" s="12"/>
      <c r="G14" s="12"/>
      <c r="H14" s="12"/>
    </row>
    <row r="15" spans="1:8" ht="12.75">
      <c r="A15" s="1"/>
      <c r="B15" s="2" t="s">
        <v>11</v>
      </c>
      <c r="C15" s="2">
        <v>160</v>
      </c>
      <c r="E15" s="12"/>
      <c r="F15" s="12"/>
      <c r="G15" s="12"/>
      <c r="H15" s="12"/>
    </row>
    <row r="16" spans="1:8" ht="12.75">
      <c r="A16" s="1"/>
      <c r="B16" s="2" t="s">
        <v>12</v>
      </c>
      <c r="C16" s="2">
        <v>170</v>
      </c>
      <c r="E16" s="12"/>
      <c r="F16" s="12"/>
      <c r="G16" s="12"/>
      <c r="H16" s="12"/>
    </row>
    <row r="17" spans="1:8" ht="12.75">
      <c r="A17" s="1">
        <v>7</v>
      </c>
      <c r="B17" s="2" t="s">
        <v>13</v>
      </c>
      <c r="C17" s="2">
        <v>2460</v>
      </c>
      <c r="E17" s="12"/>
      <c r="F17" s="12"/>
      <c r="G17" s="12"/>
      <c r="H17" s="12"/>
    </row>
    <row r="18" spans="1:8" ht="12.75">
      <c r="A18" s="1">
        <v>8</v>
      </c>
      <c r="B18" s="2" t="s">
        <v>14</v>
      </c>
      <c r="C18" s="2"/>
      <c r="E18" s="1"/>
      <c r="F18" s="2"/>
      <c r="G18" s="12"/>
      <c r="H18" s="12"/>
    </row>
    <row r="19" spans="1:8" ht="12.75">
      <c r="A19" s="1"/>
      <c r="B19" s="2" t="s">
        <v>15</v>
      </c>
      <c r="C19" s="2">
        <v>1400</v>
      </c>
      <c r="E19" s="1"/>
      <c r="F19" s="2"/>
      <c r="G19" s="12"/>
      <c r="H19" s="12"/>
    </row>
    <row r="20" spans="1:8" ht="12.75">
      <c r="A20" s="1"/>
      <c r="B20" s="2" t="s">
        <v>16</v>
      </c>
      <c r="C20" s="2">
        <v>1370</v>
      </c>
      <c r="E20" s="1"/>
      <c r="F20" s="2"/>
      <c r="G20" s="12"/>
      <c r="H20" s="12"/>
    </row>
    <row r="21" spans="1:8" ht="12.75">
      <c r="A21" s="1">
        <v>9</v>
      </c>
      <c r="B21" s="2" t="s">
        <v>17</v>
      </c>
      <c r="C21" s="2"/>
      <c r="E21" s="1"/>
      <c r="F21" s="2"/>
      <c r="G21" s="12"/>
      <c r="H21" s="12"/>
    </row>
    <row r="22" spans="1:8" ht="12.75">
      <c r="A22" s="1"/>
      <c r="B22" s="2" t="s">
        <v>18</v>
      </c>
      <c r="C22" s="2">
        <v>4006</v>
      </c>
      <c r="E22" s="12"/>
      <c r="F22" s="12"/>
      <c r="G22" s="12"/>
      <c r="H22" s="12"/>
    </row>
    <row r="23" spans="1:8" ht="12.75">
      <c r="A23" s="1"/>
      <c r="B23" s="2" t="s">
        <v>19</v>
      </c>
      <c r="C23" s="2">
        <v>1650</v>
      </c>
      <c r="E23" s="12"/>
      <c r="F23" s="12"/>
      <c r="G23" s="12"/>
      <c r="H23" s="12"/>
    </row>
    <row r="24" spans="1:8" ht="12.75">
      <c r="A24" s="1"/>
      <c r="B24" s="2" t="s">
        <v>20</v>
      </c>
      <c r="C24" s="2">
        <v>1402</v>
      </c>
      <c r="E24" s="12"/>
      <c r="F24" s="12"/>
      <c r="G24" s="12"/>
      <c r="H24" s="12"/>
    </row>
    <row r="25" spans="1:8" ht="12.75">
      <c r="A25" s="1">
        <v>10</v>
      </c>
      <c r="B25" s="2" t="s">
        <v>21</v>
      </c>
      <c r="C25" s="2"/>
      <c r="E25" s="12"/>
      <c r="F25" s="12"/>
      <c r="G25" s="12"/>
      <c r="H25" s="12"/>
    </row>
    <row r="26" spans="1:8" ht="12.75">
      <c r="A26" s="1"/>
      <c r="B26" s="2" t="s">
        <v>22</v>
      </c>
      <c r="C26" s="2">
        <v>5</v>
      </c>
      <c r="E26" s="12"/>
      <c r="F26" s="12"/>
      <c r="G26" s="12"/>
      <c r="H26" s="12"/>
    </row>
    <row r="27" spans="1:8" ht="12.75">
      <c r="A27" s="1"/>
      <c r="B27" s="2" t="s">
        <v>23</v>
      </c>
      <c r="C27" s="2">
        <v>5.5</v>
      </c>
      <c r="E27" s="12"/>
      <c r="F27" s="12"/>
      <c r="G27" s="12"/>
      <c r="H27" s="12"/>
    </row>
    <row r="28" spans="1:27" ht="12.75">
      <c r="A28" s="1">
        <v>11</v>
      </c>
      <c r="B28" s="2" t="s">
        <v>24</v>
      </c>
      <c r="C28" s="2"/>
      <c r="E28" s="12"/>
      <c r="F28" s="12"/>
      <c r="G28" s="12"/>
      <c r="H28" s="12"/>
      <c r="Y28" s="12"/>
      <c r="Z28" s="12"/>
      <c r="AA28" s="12"/>
    </row>
    <row r="29" spans="1:27" ht="12.75">
      <c r="A29" s="1"/>
      <c r="B29" s="2" t="s">
        <v>25</v>
      </c>
      <c r="C29" s="2">
        <v>28</v>
      </c>
      <c r="E29" s="12"/>
      <c r="F29" s="12"/>
      <c r="G29" s="12"/>
      <c r="H29" s="12"/>
      <c r="Y29" s="12"/>
      <c r="Z29" s="12"/>
      <c r="AA29" s="12"/>
    </row>
    <row r="30" spans="1:27" ht="12.75">
      <c r="A30" s="1"/>
      <c r="B30" s="2" t="s">
        <v>26</v>
      </c>
      <c r="C30" s="2">
        <v>22</v>
      </c>
      <c r="E30" s="12"/>
      <c r="F30" s="12"/>
      <c r="G30" s="12"/>
      <c r="H30" s="12"/>
      <c r="Y30" s="12"/>
      <c r="Z30" s="12"/>
      <c r="AA30" s="12"/>
    </row>
    <row r="31" spans="1:27" ht="12.75">
      <c r="A31" s="1">
        <v>12</v>
      </c>
      <c r="B31" s="2" t="s">
        <v>27</v>
      </c>
      <c r="C31" s="2">
        <v>160</v>
      </c>
      <c r="E31" s="12"/>
      <c r="F31" s="12"/>
      <c r="G31" s="12"/>
      <c r="H31" s="12"/>
      <c r="Y31" s="12"/>
      <c r="Z31" s="12"/>
      <c r="AA31" s="12"/>
    </row>
    <row r="32" spans="1:27" ht="12.75">
      <c r="A32" s="1">
        <v>13</v>
      </c>
      <c r="B32" s="2" t="s">
        <v>28</v>
      </c>
      <c r="C32" s="2">
        <v>148</v>
      </c>
      <c r="E32" s="12"/>
      <c r="F32" s="12"/>
      <c r="G32" s="12"/>
      <c r="H32" s="12"/>
      <c r="Y32" s="12"/>
      <c r="Z32" s="12"/>
      <c r="AA32" s="12"/>
    </row>
    <row r="33" spans="1:27" ht="12.75">
      <c r="A33" s="1">
        <v>14</v>
      </c>
      <c r="B33" s="2" t="s">
        <v>30</v>
      </c>
      <c r="C33" s="2">
        <v>5.7</v>
      </c>
      <c r="E33" s="12"/>
      <c r="F33" s="12"/>
      <c r="G33" s="12"/>
      <c r="H33" s="12"/>
      <c r="Y33" s="12"/>
      <c r="Z33" s="12"/>
      <c r="AA33" s="12"/>
    </row>
    <row r="34" spans="1:27" ht="12.75">
      <c r="A34" s="1"/>
      <c r="B34" s="2" t="s">
        <v>31</v>
      </c>
      <c r="C34" s="2">
        <v>7.8</v>
      </c>
      <c r="E34" s="12"/>
      <c r="F34" s="12"/>
      <c r="G34" s="12"/>
      <c r="H34" s="12"/>
      <c r="Y34" s="12"/>
      <c r="Z34" s="12"/>
      <c r="AA34" s="12"/>
    </row>
    <row r="35" spans="1:27" ht="12.75">
      <c r="A35" s="1">
        <v>15</v>
      </c>
      <c r="B35" s="2" t="s">
        <v>32</v>
      </c>
      <c r="C35" s="2">
        <v>43</v>
      </c>
      <c r="E35" s="12"/>
      <c r="F35" s="12"/>
      <c r="G35" s="12"/>
      <c r="H35" s="12"/>
      <c r="Y35" s="12"/>
      <c r="Z35" s="12"/>
      <c r="AA35" s="12"/>
    </row>
    <row r="36" spans="1:27" ht="12.75">
      <c r="A36" s="1">
        <v>16</v>
      </c>
      <c r="B36" s="2" t="s">
        <v>33</v>
      </c>
      <c r="C36" s="2" t="s">
        <v>107</v>
      </c>
      <c r="Y36" s="12"/>
      <c r="Z36" s="12"/>
      <c r="AA36" s="12"/>
    </row>
    <row r="37" spans="1:27" ht="12.75">
      <c r="A37" s="1">
        <v>17</v>
      </c>
      <c r="B37" s="2" t="s">
        <v>34</v>
      </c>
      <c r="C37" s="2" t="s">
        <v>108</v>
      </c>
      <c r="Y37" s="12"/>
      <c r="Z37" s="12"/>
      <c r="AA37" s="12"/>
    </row>
    <row r="38" spans="1:27" ht="12.75">
      <c r="A38" s="1">
        <v>18</v>
      </c>
      <c r="B38" s="2" t="s">
        <v>35</v>
      </c>
      <c r="C38" s="2">
        <v>76</v>
      </c>
      <c r="Y38" s="12"/>
      <c r="Z38" s="12"/>
      <c r="AA38" s="12"/>
    </row>
    <row r="39" spans="1:27" ht="12.75">
      <c r="A39" s="1">
        <v>19</v>
      </c>
      <c r="B39" s="2" t="s">
        <v>36</v>
      </c>
      <c r="C39" s="2">
        <v>71</v>
      </c>
      <c r="Y39" s="12"/>
      <c r="Z39" s="12"/>
      <c r="AA39" s="12"/>
    </row>
    <row r="40" spans="1:27" ht="12.75">
      <c r="A40" s="1">
        <v>20</v>
      </c>
      <c r="B40" s="2" t="s">
        <v>37</v>
      </c>
      <c r="C40" s="2">
        <v>1.288</v>
      </c>
      <c r="Y40" s="12"/>
      <c r="Z40" s="12"/>
      <c r="AA40" s="12"/>
    </row>
    <row r="41" spans="1:27" ht="12.75">
      <c r="A41" s="1">
        <v>21</v>
      </c>
      <c r="B41" s="2" t="s">
        <v>38</v>
      </c>
      <c r="C41" s="2">
        <v>9.9</v>
      </c>
      <c r="E41" s="12"/>
      <c r="F41" s="12"/>
      <c r="G41" s="12"/>
      <c r="H41" s="12"/>
      <c r="I41" s="12"/>
      <c r="J41" s="12"/>
      <c r="K41" s="12"/>
      <c r="Y41" s="12"/>
      <c r="Z41" s="12"/>
      <c r="AA41" s="12"/>
    </row>
    <row r="42" spans="1:27" ht="12.75">
      <c r="A42" s="1">
        <v>22</v>
      </c>
      <c r="B42" s="2" t="s">
        <v>39</v>
      </c>
      <c r="C42" s="2" t="s">
        <v>64</v>
      </c>
      <c r="E42" s="12"/>
      <c r="F42" s="12"/>
      <c r="G42" s="12"/>
      <c r="H42" s="12"/>
      <c r="I42" s="12"/>
      <c r="J42" s="12"/>
      <c r="K42" s="12"/>
      <c r="Y42" s="12"/>
      <c r="Z42" s="12"/>
      <c r="AA42" s="12"/>
    </row>
    <row r="43" spans="1:27" ht="12.75">
      <c r="A43" s="1">
        <v>23</v>
      </c>
      <c r="B43" s="2" t="s">
        <v>40</v>
      </c>
      <c r="C43" s="2" t="s">
        <v>106</v>
      </c>
      <c r="E43" s="12"/>
      <c r="F43" s="12"/>
      <c r="G43" s="12"/>
      <c r="H43" s="12"/>
      <c r="I43" s="12"/>
      <c r="J43" s="12"/>
      <c r="K43" s="12"/>
      <c r="Y43" s="12"/>
      <c r="Z43" s="12"/>
      <c r="AA43" s="12"/>
    </row>
    <row r="44" spans="1:27" ht="12.75">
      <c r="A44" s="1">
        <v>24</v>
      </c>
      <c r="B44" s="2" t="s">
        <v>41</v>
      </c>
      <c r="C44" s="2" t="s">
        <v>65</v>
      </c>
      <c r="E44" s="12"/>
      <c r="F44" s="12"/>
      <c r="G44" s="12"/>
      <c r="H44" s="12"/>
      <c r="I44" s="12"/>
      <c r="J44" s="12"/>
      <c r="K44" s="12"/>
      <c r="Y44" s="12"/>
      <c r="Z44" s="12"/>
      <c r="AA44" s="12"/>
    </row>
    <row r="45" spans="1:27" ht="12.75">
      <c r="A45" s="1">
        <v>25</v>
      </c>
      <c r="B45" s="2" t="s">
        <v>42</v>
      </c>
      <c r="C45" s="2">
        <v>95</v>
      </c>
      <c r="E45" s="12"/>
      <c r="F45" s="12"/>
      <c r="G45" s="12"/>
      <c r="H45" s="12"/>
      <c r="I45" s="12"/>
      <c r="J45" s="12"/>
      <c r="K45" s="12"/>
      <c r="Y45" s="12"/>
      <c r="Z45" s="12"/>
      <c r="AA45" s="12"/>
    </row>
    <row r="46" spans="1:27" ht="12.75">
      <c r="A46" s="1">
        <v>26</v>
      </c>
      <c r="B46" s="2" t="s">
        <v>43</v>
      </c>
      <c r="C46" s="2" t="s">
        <v>69</v>
      </c>
      <c r="E46" s="12"/>
      <c r="F46" s="12"/>
      <c r="G46" s="12"/>
      <c r="H46" s="12"/>
      <c r="I46" s="12"/>
      <c r="J46" s="12"/>
      <c r="K46" s="12"/>
      <c r="Y46" s="12"/>
      <c r="Z46" s="12"/>
      <c r="AA46" s="12"/>
    </row>
    <row r="47" spans="1:27" ht="12.75">
      <c r="A47" s="1"/>
      <c r="B47" s="2"/>
      <c r="C47" s="2" t="s">
        <v>68</v>
      </c>
      <c r="E47" s="12"/>
      <c r="F47" s="12"/>
      <c r="G47" s="12"/>
      <c r="H47" s="12"/>
      <c r="I47" s="12"/>
      <c r="J47" s="12"/>
      <c r="K47" s="12"/>
      <c r="Y47" s="12"/>
      <c r="Z47" s="12"/>
      <c r="AA47" s="12"/>
    </row>
    <row r="48" spans="1:27" ht="12.75">
      <c r="A48" s="1">
        <v>27</v>
      </c>
      <c r="B48" s="2" t="s">
        <v>44</v>
      </c>
      <c r="C48" s="2" t="s">
        <v>70</v>
      </c>
      <c r="E48" s="12"/>
      <c r="F48" s="12"/>
      <c r="G48" s="12"/>
      <c r="H48" s="12"/>
      <c r="I48" s="12"/>
      <c r="J48" s="12"/>
      <c r="K48" s="12"/>
      <c r="Y48" s="12"/>
      <c r="Z48" s="12"/>
      <c r="AA48" s="12"/>
    </row>
    <row r="49" spans="3:27" ht="12.75">
      <c r="C49" s="2" t="s">
        <v>71</v>
      </c>
      <c r="E49" s="12"/>
      <c r="F49" s="12"/>
      <c r="G49" s="12"/>
      <c r="H49" s="12"/>
      <c r="I49" s="12"/>
      <c r="J49" s="12"/>
      <c r="K49" s="12"/>
      <c r="Y49" s="12"/>
      <c r="Z49" s="12"/>
      <c r="AA49" s="12"/>
    </row>
    <row r="50" spans="1:27" ht="12.75">
      <c r="A50" s="1">
        <v>28</v>
      </c>
      <c r="B50" s="2" t="s">
        <v>45</v>
      </c>
      <c r="C50" t="s">
        <v>377</v>
      </c>
      <c r="Y50" s="12"/>
      <c r="Z50" s="12"/>
      <c r="AA50" s="12"/>
    </row>
    <row r="51" spans="1:29" ht="12.75">
      <c r="A51" s="1"/>
      <c r="B51" s="2"/>
      <c r="C51" t="s">
        <v>378</v>
      </c>
      <c r="G51" s="20"/>
      <c r="W51" s="11" t="s">
        <v>0</v>
      </c>
      <c r="X51" s="11" t="s">
        <v>363</v>
      </c>
      <c r="Y51" s="11"/>
      <c r="Z51" s="11"/>
      <c r="AA51" s="11" t="s">
        <v>364</v>
      </c>
      <c r="AB51" s="11" t="s">
        <v>72</v>
      </c>
      <c r="AC51" s="11"/>
    </row>
    <row r="52" spans="1:29" ht="12.75">
      <c r="A52" s="1">
        <v>29</v>
      </c>
      <c r="B52" s="2" t="s">
        <v>46</v>
      </c>
      <c r="C52" s="2" t="s">
        <v>109</v>
      </c>
      <c r="W52" s="11"/>
      <c r="X52" s="11"/>
      <c r="Y52" s="11"/>
      <c r="Z52" s="11"/>
      <c r="AA52" s="11" t="s">
        <v>365</v>
      </c>
      <c r="AB52" s="11" t="s">
        <v>382</v>
      </c>
      <c r="AC52" s="11" t="s">
        <v>381</v>
      </c>
    </row>
    <row r="53" spans="1:29" ht="12.75">
      <c r="A53" s="1">
        <v>30</v>
      </c>
      <c r="B53" s="2" t="s">
        <v>47</v>
      </c>
      <c r="C53" s="2"/>
      <c r="E53" s="11" t="s">
        <v>0</v>
      </c>
      <c r="F53" s="11" t="s">
        <v>363</v>
      </c>
      <c r="G53" s="11"/>
      <c r="H53" s="11"/>
      <c r="I53" s="11" t="s">
        <v>364</v>
      </c>
      <c r="J53" s="11" t="s">
        <v>72</v>
      </c>
      <c r="K53" s="11"/>
      <c r="W53" s="11">
        <v>1</v>
      </c>
      <c r="X53" s="11" t="s">
        <v>366</v>
      </c>
      <c r="Y53" s="11"/>
      <c r="Z53" s="11"/>
      <c r="AA53" s="11" t="s">
        <v>372</v>
      </c>
      <c r="AB53" s="17">
        <v>0.036</v>
      </c>
      <c r="AC53" s="11" t="e">
        <f>W69/U8</f>
        <v>#DIV/0!</v>
      </c>
    </row>
    <row r="54" spans="1:29" ht="12.75">
      <c r="A54" s="1">
        <v>31</v>
      </c>
      <c r="B54" s="2" t="s">
        <v>48</v>
      </c>
      <c r="C54" s="2"/>
      <c r="E54" s="11"/>
      <c r="F54" s="11"/>
      <c r="G54" s="11"/>
      <c r="H54" s="11"/>
      <c r="I54" s="11" t="s">
        <v>365</v>
      </c>
      <c r="J54" s="11" t="s">
        <v>382</v>
      </c>
      <c r="K54" s="11" t="s">
        <v>381</v>
      </c>
      <c r="W54" s="11">
        <v>2</v>
      </c>
      <c r="X54" s="11" t="s">
        <v>367</v>
      </c>
      <c r="Y54" s="11"/>
      <c r="Z54" s="11"/>
      <c r="AA54" s="11" t="s">
        <v>373</v>
      </c>
      <c r="AB54" s="17">
        <v>35.73</v>
      </c>
      <c r="AC54" s="11" t="e">
        <f>W69/U38</f>
        <v>#DIV/0!</v>
      </c>
    </row>
    <row r="55" spans="1:29" ht="12.75">
      <c r="A55" s="1">
        <v>32</v>
      </c>
      <c r="B55" s="2" t="s">
        <v>49</v>
      </c>
      <c r="C55" s="2"/>
      <c r="E55" s="11">
        <v>1</v>
      </c>
      <c r="F55" s="11" t="s">
        <v>366</v>
      </c>
      <c r="G55" s="11"/>
      <c r="H55" s="11"/>
      <c r="I55" s="11" t="s">
        <v>372</v>
      </c>
      <c r="J55" s="17">
        <v>0.036</v>
      </c>
      <c r="K55" s="11">
        <f>E71/C10</f>
        <v>0.03547169811320755</v>
      </c>
      <c r="W55" s="11">
        <v>3</v>
      </c>
      <c r="X55" s="11" t="s">
        <v>368</v>
      </c>
      <c r="Y55" s="11"/>
      <c r="Z55" s="11"/>
      <c r="AA55" s="11" t="s">
        <v>374</v>
      </c>
      <c r="AB55" s="17">
        <v>2.42</v>
      </c>
      <c r="AC55" s="11" t="e">
        <f>U43/W69</f>
        <v>#DIV/0!</v>
      </c>
    </row>
    <row r="56" spans="1:29" ht="12.75">
      <c r="A56" s="1">
        <v>33</v>
      </c>
      <c r="B56" s="2" t="s">
        <v>50</v>
      </c>
      <c r="C56" s="2" t="s">
        <v>66</v>
      </c>
      <c r="E56" s="11">
        <v>2</v>
      </c>
      <c r="F56" s="11" t="s">
        <v>367</v>
      </c>
      <c r="G56" s="11"/>
      <c r="H56" s="11"/>
      <c r="I56" s="11" t="s">
        <v>373</v>
      </c>
      <c r="J56" s="17">
        <v>35.73</v>
      </c>
      <c r="K56" s="11">
        <f>E71/C40</f>
        <v>36.49068322981366</v>
      </c>
      <c r="W56" s="11">
        <v>4</v>
      </c>
      <c r="X56" s="11" t="s">
        <v>369</v>
      </c>
      <c r="Y56" s="11"/>
      <c r="Z56" s="11"/>
      <c r="AA56" s="11" t="s">
        <v>375</v>
      </c>
      <c r="AB56" s="17">
        <v>86.49</v>
      </c>
      <c r="AC56" s="11" t="e">
        <f>U43/U38</f>
        <v>#DIV/0!</v>
      </c>
    </row>
    <row r="57" spans="1:29" ht="12.75">
      <c r="A57" s="1">
        <v>34</v>
      </c>
      <c r="B57" s="2" t="s">
        <v>51</v>
      </c>
      <c r="C57" s="2"/>
      <c r="E57" s="11">
        <v>3</v>
      </c>
      <c r="F57" s="11" t="s">
        <v>368</v>
      </c>
      <c r="G57" s="11"/>
      <c r="H57" s="11"/>
      <c r="I57" s="11" t="s">
        <v>374</v>
      </c>
      <c r="J57" s="17">
        <v>2.42</v>
      </c>
      <c r="K57" s="11">
        <f>C45/E71</f>
        <v>2.021276595744681</v>
      </c>
      <c r="W57" s="11">
        <v>5</v>
      </c>
      <c r="X57" s="11" t="s">
        <v>370</v>
      </c>
      <c r="Y57" s="11"/>
      <c r="Z57" s="11"/>
      <c r="AA57" s="11" t="s">
        <v>376</v>
      </c>
      <c r="AB57" s="17">
        <v>1.38</v>
      </c>
      <c r="AC57" s="11" t="e">
        <f>U8/U4</f>
        <v>#DIV/0!</v>
      </c>
    </row>
    <row r="58" spans="1:29" ht="12.75">
      <c r="A58" s="1"/>
      <c r="B58" s="2" t="s">
        <v>52</v>
      </c>
      <c r="C58" s="2" t="s">
        <v>67</v>
      </c>
      <c r="E58" s="11">
        <v>4</v>
      </c>
      <c r="F58" s="11" t="s">
        <v>369</v>
      </c>
      <c r="G58" s="11"/>
      <c r="H58" s="11"/>
      <c r="I58" s="11" t="s">
        <v>375</v>
      </c>
      <c r="J58" s="17">
        <v>86.49</v>
      </c>
      <c r="K58" s="11">
        <f>C45/C40</f>
        <v>73.75776397515527</v>
      </c>
      <c r="W58" s="11" t="s">
        <v>281</v>
      </c>
      <c r="X58" s="11" t="s">
        <v>371</v>
      </c>
      <c r="Y58" s="11"/>
      <c r="Z58" s="11"/>
      <c r="AA58" s="11"/>
      <c r="AB58" s="17"/>
      <c r="AC58" s="11"/>
    </row>
    <row r="59" spans="1:29" ht="12.75">
      <c r="A59" s="1"/>
      <c r="B59" s="2" t="s">
        <v>53</v>
      </c>
      <c r="C59" s="2">
        <v>2</v>
      </c>
      <c r="E59" s="11">
        <v>5</v>
      </c>
      <c r="F59" s="11" t="s">
        <v>370</v>
      </c>
      <c r="G59" s="11"/>
      <c r="H59" s="11"/>
      <c r="I59" s="11" t="s">
        <v>376</v>
      </c>
      <c r="J59" s="17">
        <v>1.38</v>
      </c>
      <c r="K59" s="11">
        <f>C10/C6</f>
        <v>1.4722222222222223</v>
      </c>
      <c r="W59" s="11">
        <v>6</v>
      </c>
      <c r="X59" s="17" t="s">
        <v>379</v>
      </c>
      <c r="Y59" s="17"/>
      <c r="Z59" s="17"/>
      <c r="AA59" s="11" t="s">
        <v>380</v>
      </c>
      <c r="AB59" s="17">
        <v>0.85</v>
      </c>
      <c r="AC59" s="11" t="e">
        <f>U37/U36</f>
        <v>#DIV/0!</v>
      </c>
    </row>
    <row r="60" spans="1:27" ht="12.75">
      <c r="A60" s="1">
        <v>35</v>
      </c>
      <c r="B60" s="2" t="s">
        <v>54</v>
      </c>
      <c r="C60" s="2"/>
      <c r="E60" s="11" t="s">
        <v>281</v>
      </c>
      <c r="F60" s="11" t="s">
        <v>371</v>
      </c>
      <c r="G60" s="11"/>
      <c r="H60" s="11"/>
      <c r="I60" s="11"/>
      <c r="J60" s="17"/>
      <c r="K60" s="11"/>
      <c r="O60" s="12"/>
      <c r="Y60" s="12"/>
      <c r="Z60" s="12"/>
      <c r="AA60" s="12"/>
    </row>
    <row r="61" spans="1:27" ht="12.75">
      <c r="A61" s="1">
        <v>36</v>
      </c>
      <c r="B61" s="2" t="s">
        <v>55</v>
      </c>
      <c r="C61" s="2"/>
      <c r="E61" s="11">
        <v>6</v>
      </c>
      <c r="F61" s="17" t="s">
        <v>379</v>
      </c>
      <c r="G61" s="17"/>
      <c r="H61" s="17"/>
      <c r="I61" s="11" t="s">
        <v>380</v>
      </c>
      <c r="J61" s="17">
        <v>0.85</v>
      </c>
      <c r="K61" s="11">
        <f>C39/C38</f>
        <v>0.9342105263157895</v>
      </c>
      <c r="O61" s="12"/>
      <c r="Y61" s="12"/>
      <c r="Z61" s="12"/>
      <c r="AA61" s="12"/>
    </row>
    <row r="62" spans="1:27" ht="12.75">
      <c r="A62" s="1">
        <v>37</v>
      </c>
      <c r="B62" s="2" t="s">
        <v>56</v>
      </c>
      <c r="C62" s="2"/>
      <c r="O62" s="12"/>
      <c r="X62" s="12"/>
      <c r="Y62" s="12"/>
      <c r="Z62" s="12"/>
      <c r="AA62" s="12"/>
    </row>
    <row r="63" spans="1:27" ht="12.75">
      <c r="A63" s="3">
        <v>38</v>
      </c>
      <c r="B63" s="4" t="s">
        <v>57</v>
      </c>
      <c r="C63" s="4"/>
      <c r="O63" s="12"/>
      <c r="X63" s="12"/>
      <c r="Y63" s="12"/>
      <c r="Z63" s="12"/>
      <c r="AA63" s="12"/>
    </row>
    <row r="64" spans="15:27" ht="12.75">
      <c r="O64" s="12"/>
      <c r="X64" s="12"/>
      <c r="Y64" s="12"/>
      <c r="Z64" s="12"/>
      <c r="AA64" s="12"/>
    </row>
    <row r="65" spans="15:27" ht="12.75">
      <c r="O65" s="12"/>
      <c r="X65" s="12"/>
      <c r="Y65" s="12"/>
      <c r="Z65" s="12"/>
      <c r="AA65" s="12"/>
    </row>
    <row r="66" spans="15:27" ht="12.75">
      <c r="O66" s="12"/>
      <c r="X66" s="12"/>
      <c r="Y66" s="12"/>
      <c r="Z66" s="12"/>
      <c r="AA66" s="12"/>
    </row>
    <row r="67" spans="2:27" ht="13.5" thickBot="1">
      <c r="B67" s="14" t="s">
        <v>73</v>
      </c>
      <c r="C67" s="14" t="s">
        <v>74</v>
      </c>
      <c r="D67" s="14" t="s">
        <v>75</v>
      </c>
      <c r="E67" s="7" t="s">
        <v>72</v>
      </c>
      <c r="O67" s="12"/>
      <c r="X67" s="12"/>
      <c r="Y67" s="12"/>
      <c r="Z67" s="12"/>
      <c r="AA67" s="12"/>
    </row>
    <row r="68" spans="2:27" ht="12.75">
      <c r="B68" s="9" t="s">
        <v>76</v>
      </c>
      <c r="C68" s="9" t="s">
        <v>105</v>
      </c>
      <c r="D68" s="9" t="s">
        <v>78</v>
      </c>
      <c r="E68" s="2"/>
      <c r="O68" s="12"/>
      <c r="X68" s="12"/>
      <c r="Y68" s="12"/>
      <c r="Z68" s="12"/>
      <c r="AA68" s="12"/>
    </row>
    <row r="69" spans="2:27" ht="12.75">
      <c r="B69" s="9" t="s">
        <v>79</v>
      </c>
      <c r="C69" s="9"/>
      <c r="D69" s="9"/>
      <c r="E69" s="2"/>
      <c r="X69" s="12"/>
      <c r="Y69" s="12"/>
      <c r="Z69" s="12"/>
      <c r="AA69" s="12"/>
    </row>
    <row r="70" spans="2:27" ht="12.75">
      <c r="B70" s="9" t="s">
        <v>80</v>
      </c>
      <c r="D70" s="9"/>
      <c r="E70" s="2"/>
      <c r="X70" s="12"/>
      <c r="Y70" s="12"/>
      <c r="Z70" s="12"/>
      <c r="AA70" s="12"/>
    </row>
    <row r="71" spans="2:27" ht="12.75">
      <c r="B71" s="9" t="s">
        <v>82</v>
      </c>
      <c r="C71" s="9" t="s">
        <v>81</v>
      </c>
      <c r="D71" s="9"/>
      <c r="E71" s="2">
        <v>47</v>
      </c>
      <c r="X71" s="12"/>
      <c r="Y71" s="12"/>
      <c r="Z71" s="12"/>
      <c r="AA71" s="12"/>
    </row>
    <row r="72" spans="2:27" ht="12.75">
      <c r="B72" s="9" t="s">
        <v>84</v>
      </c>
      <c r="C72" s="9" t="s">
        <v>83</v>
      </c>
      <c r="D72" s="9"/>
      <c r="E72" s="2">
        <v>5600</v>
      </c>
      <c r="X72" s="12"/>
      <c r="Y72" s="12"/>
      <c r="Z72" s="12"/>
      <c r="AA72" s="12"/>
    </row>
    <row r="73" spans="2:27" ht="12.75">
      <c r="B73" s="9" t="s">
        <v>85</v>
      </c>
      <c r="D73" s="9"/>
      <c r="E73" s="2"/>
      <c r="X73" s="12"/>
      <c r="Y73" s="12"/>
      <c r="Z73" s="12"/>
      <c r="AA73" s="12"/>
    </row>
    <row r="74" spans="2:27" ht="12.75">
      <c r="B74" s="10" t="s">
        <v>86</v>
      </c>
      <c r="C74" s="9" t="s">
        <v>87</v>
      </c>
      <c r="D74" s="9" t="s">
        <v>88</v>
      </c>
      <c r="E74" s="2">
        <v>279</v>
      </c>
      <c r="X74" s="12"/>
      <c r="Y74" s="12"/>
      <c r="Z74" s="12"/>
      <c r="AA74" s="12"/>
    </row>
    <row r="75" spans="2:27" ht="12.75">
      <c r="B75" s="9" t="s">
        <v>89</v>
      </c>
      <c r="C75" s="9" t="s">
        <v>90</v>
      </c>
      <c r="D75" s="9"/>
      <c r="E75" s="2"/>
      <c r="M75" s="12"/>
      <c r="X75" s="12"/>
      <c r="Y75" s="12"/>
      <c r="Z75" s="12"/>
      <c r="AA75" s="21"/>
    </row>
    <row r="76" spans="2:27" ht="12.75">
      <c r="B76" s="9" t="s">
        <v>91</v>
      </c>
      <c r="C76" s="9" t="s">
        <v>92</v>
      </c>
      <c r="D76" s="9"/>
      <c r="E76" s="2">
        <v>1</v>
      </c>
      <c r="X76" s="12"/>
      <c r="Y76" s="12"/>
      <c r="Z76" s="12"/>
      <c r="AA76" s="12"/>
    </row>
    <row r="77" spans="3:27" ht="12.75">
      <c r="C77" s="9" t="s">
        <v>93</v>
      </c>
      <c r="D77" s="9"/>
      <c r="E77" s="2">
        <v>1</v>
      </c>
      <c r="X77" s="12"/>
      <c r="Y77" s="12"/>
      <c r="Z77" s="12"/>
      <c r="AA77" s="12"/>
    </row>
    <row r="78" spans="3:27" ht="12.75">
      <c r="C78" s="9" t="s">
        <v>94</v>
      </c>
      <c r="D78" s="9"/>
      <c r="E78" s="2">
        <v>1</v>
      </c>
      <c r="X78" s="12"/>
      <c r="Y78" s="12"/>
      <c r="Z78" s="12"/>
      <c r="AA78" s="12"/>
    </row>
    <row r="79" spans="2:27" ht="12.75">
      <c r="B79" s="9" t="s">
        <v>95</v>
      </c>
      <c r="C79" s="9"/>
      <c r="D79" s="9"/>
      <c r="E79" s="2"/>
      <c r="X79" s="12"/>
      <c r="Y79" s="12"/>
      <c r="Z79" s="12"/>
      <c r="AA79" s="12"/>
    </row>
    <row r="80" spans="2:31" ht="12.75">
      <c r="B80" s="9" t="s">
        <v>96</v>
      </c>
      <c r="C80" s="9" t="s">
        <v>97</v>
      </c>
      <c r="D80" s="9"/>
      <c r="E80" s="15" t="s">
        <v>122</v>
      </c>
      <c r="X80" s="12"/>
      <c r="Y80" s="12"/>
      <c r="Z80" s="12"/>
      <c r="AA80" s="12"/>
      <c r="AB80" s="12"/>
      <c r="AC80" s="12"/>
      <c r="AD80" s="12"/>
      <c r="AE80" s="12"/>
    </row>
    <row r="81" spans="3:31" ht="12.75">
      <c r="C81" s="9" t="s">
        <v>98</v>
      </c>
      <c r="D81" s="9"/>
      <c r="E81" s="2">
        <v>1</v>
      </c>
      <c r="X81" s="12"/>
      <c r="Y81" s="12"/>
      <c r="Z81" s="12"/>
      <c r="AA81" s="12"/>
      <c r="AB81" s="12"/>
      <c r="AC81" s="12"/>
      <c r="AD81" s="12"/>
      <c r="AE81" s="12"/>
    </row>
    <row r="82" spans="3:31" ht="12.75">
      <c r="C82" s="9" t="s">
        <v>99</v>
      </c>
      <c r="D82" s="9"/>
      <c r="E82" s="2">
        <v>0.8</v>
      </c>
      <c r="X82" s="12"/>
      <c r="Y82" s="12"/>
      <c r="Z82" s="12"/>
      <c r="AA82" s="12"/>
      <c r="AB82" s="12"/>
      <c r="AC82" s="12"/>
      <c r="AD82" s="12"/>
      <c r="AE82" s="12"/>
    </row>
    <row r="83" spans="2:31" ht="12.75">
      <c r="B83" s="9" t="s">
        <v>100</v>
      </c>
      <c r="C83" s="9" t="s">
        <v>101</v>
      </c>
      <c r="D83" s="9" t="s">
        <v>102</v>
      </c>
      <c r="E83" s="2"/>
      <c r="X83" s="12"/>
      <c r="Y83" s="12"/>
      <c r="Z83" s="12"/>
      <c r="AA83" s="12"/>
      <c r="AB83" s="12"/>
      <c r="AC83" s="12"/>
      <c r="AD83" s="12"/>
      <c r="AE83" s="12"/>
    </row>
    <row r="84" spans="2:31" ht="12.75">
      <c r="B84" s="10" t="s">
        <v>103</v>
      </c>
      <c r="C84" s="10" t="s">
        <v>101</v>
      </c>
      <c r="D84" s="10" t="s">
        <v>104</v>
      </c>
      <c r="E84" s="4"/>
      <c r="X84" s="12"/>
      <c r="Y84" s="12"/>
      <c r="Z84" s="12"/>
      <c r="AA84" s="12"/>
      <c r="AB84" s="12"/>
      <c r="AC84" s="12"/>
      <c r="AD84" s="12"/>
      <c r="AE84" s="12"/>
    </row>
    <row r="85" spans="24:31" ht="12.75">
      <c r="X85" s="12"/>
      <c r="Y85" s="12"/>
      <c r="Z85" s="12"/>
      <c r="AA85" s="12"/>
      <c r="AB85" s="12"/>
      <c r="AC85" s="12"/>
      <c r="AD85" s="12"/>
      <c r="AE85" s="12"/>
    </row>
    <row r="86" spans="24:31" ht="12.75">
      <c r="X86" s="12"/>
      <c r="Y86" s="12"/>
      <c r="Z86" s="12"/>
      <c r="AA86" s="12"/>
      <c r="AB86" s="12"/>
      <c r="AC86" s="12"/>
      <c r="AD86" s="12"/>
      <c r="AE86" s="12"/>
    </row>
    <row r="87" spans="2:31" ht="12.75">
      <c r="B87" t="s">
        <v>110</v>
      </c>
      <c r="X87" s="12"/>
      <c r="Y87" s="19"/>
      <c r="Z87" s="19"/>
      <c r="AA87" s="19"/>
      <c r="AB87" s="19"/>
      <c r="AC87" s="19"/>
      <c r="AD87" s="19"/>
      <c r="AE87" s="19"/>
    </row>
    <row r="88" spans="2:9" ht="12.75">
      <c r="B88" s="12"/>
      <c r="C88" s="12"/>
      <c r="D88" s="12"/>
      <c r="I88" s="12"/>
    </row>
    <row r="89" spans="2:9" ht="12.75">
      <c r="B89" s="12" t="s">
        <v>111</v>
      </c>
      <c r="C89" s="12"/>
      <c r="D89" s="12"/>
      <c r="I89" s="12"/>
    </row>
    <row r="90" spans="2:9" ht="12.75">
      <c r="B90" s="12"/>
      <c r="C90" s="12"/>
      <c r="D90" s="12"/>
      <c r="I90" s="12"/>
    </row>
    <row r="91" spans="2:9" ht="12.75">
      <c r="B91" s="12" t="s">
        <v>112</v>
      </c>
      <c r="C91" s="12"/>
      <c r="D91" s="12">
        <v>0.0625</v>
      </c>
      <c r="I91" s="12"/>
    </row>
    <row r="92" spans="2:9" ht="12.75">
      <c r="B92" s="12"/>
      <c r="C92" s="12"/>
      <c r="D92" s="12"/>
      <c r="E92">
        <f>1.2-E81*E81/(4*E82)</f>
        <v>0.8875</v>
      </c>
      <c r="I92" s="12"/>
    </row>
    <row r="93" spans="2:9" ht="12.75">
      <c r="B93" s="12" t="s">
        <v>113</v>
      </c>
      <c r="C93" s="12"/>
      <c r="D93" s="12"/>
      <c r="I93" s="12"/>
    </row>
    <row r="94" spans="2:4" ht="12.75">
      <c r="B94" s="12"/>
      <c r="C94" s="12"/>
      <c r="D94" s="12"/>
    </row>
    <row r="95" spans="2:10" ht="12.75">
      <c r="B95" s="11" t="s">
        <v>114</v>
      </c>
      <c r="C95" s="11" t="s">
        <v>115</v>
      </c>
      <c r="D95" s="11"/>
      <c r="E95" s="11"/>
      <c r="F95" s="11"/>
      <c r="G95" s="11"/>
      <c r="H95" s="11"/>
      <c r="I95" s="11"/>
      <c r="J95" s="12"/>
    </row>
    <row r="96" spans="2:10" ht="12.75">
      <c r="B96" s="11"/>
      <c r="C96" s="11">
        <v>1000</v>
      </c>
      <c r="D96" s="11">
        <v>2000</v>
      </c>
      <c r="E96" s="11">
        <v>3000</v>
      </c>
      <c r="F96" s="11">
        <v>4000</v>
      </c>
      <c r="G96" s="11">
        <v>5000</v>
      </c>
      <c r="H96" s="11">
        <v>5600</v>
      </c>
      <c r="I96" s="11">
        <f>5600*1.2</f>
        <v>6720</v>
      </c>
      <c r="J96" s="12"/>
    </row>
    <row r="97" spans="2:10" ht="12.75">
      <c r="B97" s="11" t="s">
        <v>116</v>
      </c>
      <c r="C97" s="11">
        <f aca="true" t="shared" si="0" ref="C97:I97">C96/$E72</f>
        <v>0.17857142857142858</v>
      </c>
      <c r="D97" s="11">
        <f t="shared" si="0"/>
        <v>0.35714285714285715</v>
      </c>
      <c r="E97" s="11">
        <f t="shared" si="0"/>
        <v>0.5357142857142857</v>
      </c>
      <c r="F97" s="11">
        <f t="shared" si="0"/>
        <v>0.7142857142857143</v>
      </c>
      <c r="G97" s="11">
        <f t="shared" si="0"/>
        <v>0.8928571428571429</v>
      </c>
      <c r="H97" s="11">
        <f t="shared" si="0"/>
        <v>1</v>
      </c>
      <c r="I97" s="11">
        <f t="shared" si="0"/>
        <v>1.2</v>
      </c>
      <c r="J97" s="12"/>
    </row>
    <row r="98" spans="2:10" ht="12.75">
      <c r="B98" s="11" t="s">
        <v>117</v>
      </c>
      <c r="C98">
        <f aca="true" t="shared" si="1" ref="C98:I98">C97*C97</f>
        <v>0.03188775510204082</v>
      </c>
      <c r="D98" s="11">
        <f t="shared" si="1"/>
        <v>0.12755102040816327</v>
      </c>
      <c r="E98" s="11">
        <f t="shared" si="1"/>
        <v>0.2869897959183673</v>
      </c>
      <c r="F98" s="11">
        <f t="shared" si="1"/>
        <v>0.5102040816326531</v>
      </c>
      <c r="G98" s="11">
        <f t="shared" si="1"/>
        <v>0.7971938775510204</v>
      </c>
      <c r="H98" s="11">
        <f t="shared" si="1"/>
        <v>1</v>
      </c>
      <c r="I98" s="11">
        <f t="shared" si="1"/>
        <v>1.44</v>
      </c>
      <c r="J98" s="12"/>
    </row>
    <row r="99" spans="2:10" ht="12.75">
      <c r="B99" s="11" t="s">
        <v>118</v>
      </c>
      <c r="C99" s="11">
        <f aca="true" t="shared" si="2" ref="C99:I99">C98*C97</f>
        <v>0.005694241982507289</v>
      </c>
      <c r="D99" s="11">
        <f t="shared" si="2"/>
        <v>0.04555393586005831</v>
      </c>
      <c r="E99" s="11">
        <f t="shared" si="2"/>
        <v>0.15374453352769676</v>
      </c>
      <c r="F99" s="11">
        <f t="shared" si="2"/>
        <v>0.3644314868804665</v>
      </c>
      <c r="G99" s="11">
        <f t="shared" si="2"/>
        <v>0.7117802478134112</v>
      </c>
      <c r="H99" s="11">
        <f t="shared" si="2"/>
        <v>1</v>
      </c>
      <c r="I99" s="11">
        <f t="shared" si="2"/>
        <v>1.728</v>
      </c>
      <c r="J99" s="12"/>
    </row>
    <row r="100" spans="2:10" ht="12.75">
      <c r="B100" s="11" t="s">
        <v>119</v>
      </c>
      <c r="C100" s="11">
        <f aca="true" t="shared" si="3" ref="C100:I100">$E71*($E76*C97+$E77*C98-$E78*C99)</f>
        <v>9.62395225947522</v>
      </c>
      <c r="D100" s="11">
        <f t="shared" si="3"/>
        <v>20.63957725947522</v>
      </c>
      <c r="E100" s="11">
        <f t="shared" si="3"/>
        <v>31.441098760932938</v>
      </c>
      <c r="F100" s="11">
        <f t="shared" si="3"/>
        <v>40.42274052478134</v>
      </c>
      <c r="G100" s="11">
        <f t="shared" si="3"/>
        <v>45.97872631195335</v>
      </c>
      <c r="H100" s="11">
        <f t="shared" si="3"/>
        <v>47</v>
      </c>
      <c r="I100" s="11">
        <f t="shared" si="3"/>
        <v>42.86399999999998</v>
      </c>
      <c r="J100" s="12"/>
    </row>
    <row r="101" spans="2:10" ht="12.75">
      <c r="B101" s="11" t="s">
        <v>120</v>
      </c>
      <c r="C101" s="11">
        <f aca="true" t="shared" si="4" ref="C101:I101">9554*C100/C96</f>
        <v>91.94723988702624</v>
      </c>
      <c r="D101" s="11">
        <f t="shared" si="4"/>
        <v>98.59526056851313</v>
      </c>
      <c r="E101" s="11">
        <f t="shared" si="4"/>
        <v>100.12941918731775</v>
      </c>
      <c r="F101" s="11">
        <f t="shared" si="4"/>
        <v>96.54971574344023</v>
      </c>
      <c r="G101" s="11">
        <f t="shared" si="4"/>
        <v>87.85615023688047</v>
      </c>
      <c r="H101" s="11">
        <f t="shared" si="4"/>
        <v>80.18535714285714</v>
      </c>
      <c r="I101" s="11">
        <f t="shared" si="4"/>
        <v>60.940871428571405</v>
      </c>
      <c r="J101" s="12"/>
    </row>
    <row r="102" spans="2:10" ht="12.75">
      <c r="B102" s="11" t="s">
        <v>121</v>
      </c>
      <c r="C102" s="16">
        <f aca="true" t="shared" si="5" ref="C102:I102">$E74*(1.2-$E81*C97+$E82*C98)/$E92</f>
        <v>329.12216154067255</v>
      </c>
      <c r="D102" s="16">
        <f t="shared" si="5"/>
        <v>297.04397815464216</v>
      </c>
      <c r="E102" s="16">
        <f t="shared" si="5"/>
        <v>281.0048864616269</v>
      </c>
      <c r="F102" s="16">
        <f t="shared" si="5"/>
        <v>281.0048864616269</v>
      </c>
      <c r="G102" s="16">
        <f t="shared" si="5"/>
        <v>297.04397815464216</v>
      </c>
      <c r="H102" s="16">
        <f t="shared" si="5"/>
        <v>314.3661971830986</v>
      </c>
      <c r="I102" s="16">
        <f t="shared" si="5"/>
        <v>362.1498591549296</v>
      </c>
      <c r="J102" s="19"/>
    </row>
    <row r="103" ht="12.75">
      <c r="I103" s="12"/>
    </row>
    <row r="104" ht="12.75">
      <c r="I104" s="12"/>
    </row>
    <row r="105" ht="12.75">
      <c r="B105" t="s">
        <v>123</v>
      </c>
    </row>
    <row r="106" ht="12.75">
      <c r="B106" t="s">
        <v>296</v>
      </c>
    </row>
    <row r="107" ht="12.75">
      <c r="B107" t="s">
        <v>297</v>
      </c>
    </row>
    <row r="108" ht="12.75">
      <c r="B108" t="s">
        <v>299</v>
      </c>
    </row>
    <row r="110" spans="2:5" ht="12.75">
      <c r="B110" s="11" t="s">
        <v>124</v>
      </c>
      <c r="C110" s="11" t="s">
        <v>125</v>
      </c>
      <c r="D110" s="11" t="s">
        <v>75</v>
      </c>
      <c r="E110" s="11" t="s">
        <v>72</v>
      </c>
    </row>
    <row r="111" spans="2:5" ht="12.75">
      <c r="B111" s="11" t="s">
        <v>126</v>
      </c>
      <c r="C111" s="11" t="s">
        <v>127</v>
      </c>
      <c r="D111" s="11" t="s">
        <v>128</v>
      </c>
      <c r="E111" s="11">
        <f>(0.165/2+0.312*0.9)*0.95</f>
        <v>0.34513499999999997</v>
      </c>
    </row>
    <row r="112" spans="2:5" ht="12.75">
      <c r="B112" s="11" t="s">
        <v>129</v>
      </c>
      <c r="C112" s="11" t="s">
        <v>77</v>
      </c>
      <c r="D112" s="11" t="s">
        <v>130</v>
      </c>
      <c r="E112" s="11">
        <v>3.94</v>
      </c>
    </row>
    <row r="113" spans="2:5" ht="12.75">
      <c r="B113" s="11" t="s">
        <v>131</v>
      </c>
      <c r="C113" s="11"/>
      <c r="D113" s="11"/>
      <c r="E113" s="11"/>
    </row>
    <row r="114" spans="2:5" ht="12.75">
      <c r="B114" s="11" t="s">
        <v>132</v>
      </c>
      <c r="C114" s="11" t="s">
        <v>77</v>
      </c>
      <c r="D114" s="11" t="s">
        <v>137</v>
      </c>
      <c r="E114" s="11">
        <v>3.636</v>
      </c>
    </row>
    <row r="115" spans="2:5" ht="12.75">
      <c r="B115" s="11" t="s">
        <v>133</v>
      </c>
      <c r="C115" s="11" t="s">
        <v>77</v>
      </c>
      <c r="D115" s="11" t="s">
        <v>138</v>
      </c>
      <c r="E115" s="11">
        <v>1.96</v>
      </c>
    </row>
    <row r="116" spans="2:5" ht="12.75">
      <c r="B116" s="11" t="s">
        <v>134</v>
      </c>
      <c r="C116" s="11" t="s">
        <v>77</v>
      </c>
      <c r="D116" s="11" t="s">
        <v>139</v>
      </c>
      <c r="E116" s="11">
        <v>1.357</v>
      </c>
    </row>
    <row r="117" spans="2:5" ht="12.75">
      <c r="B117" s="11" t="s">
        <v>135</v>
      </c>
      <c r="C117" s="11" t="s">
        <v>77</v>
      </c>
      <c r="D117" s="11" t="s">
        <v>140</v>
      </c>
      <c r="E117" s="11">
        <v>0.941</v>
      </c>
    </row>
    <row r="118" spans="2:5" ht="12.75">
      <c r="B118" s="11" t="s">
        <v>172</v>
      </c>
      <c r="C118" s="11" t="s">
        <v>90</v>
      </c>
      <c r="D118" s="11" t="s">
        <v>173</v>
      </c>
      <c r="E118" s="11">
        <v>0.784</v>
      </c>
    </row>
    <row r="119" spans="2:5" ht="12.75">
      <c r="B119" s="11" t="s">
        <v>141</v>
      </c>
      <c r="C119" s="11" t="s">
        <v>77</v>
      </c>
      <c r="D119" s="11" t="s">
        <v>165</v>
      </c>
      <c r="E119" s="11">
        <v>0.9</v>
      </c>
    </row>
    <row r="120" spans="2:5" ht="12.75">
      <c r="B120" s="11" t="s">
        <v>142</v>
      </c>
      <c r="C120" s="11" t="s">
        <v>77</v>
      </c>
      <c r="D120" s="11" t="s">
        <v>143</v>
      </c>
      <c r="E120" s="11">
        <v>0.015</v>
      </c>
    </row>
    <row r="121" spans="2:5" ht="12.75">
      <c r="B121" s="11" t="s">
        <v>144</v>
      </c>
      <c r="C121" s="11" t="s">
        <v>77</v>
      </c>
      <c r="D121" s="11" t="s">
        <v>145</v>
      </c>
      <c r="E121" s="11">
        <v>0.2</v>
      </c>
    </row>
    <row r="122" spans="2:5" ht="12.75">
      <c r="B122" s="11" t="s">
        <v>146</v>
      </c>
      <c r="C122" s="11" t="s">
        <v>77</v>
      </c>
      <c r="D122" s="11" t="s">
        <v>164</v>
      </c>
      <c r="E122" s="11">
        <v>0.75</v>
      </c>
    </row>
    <row r="123" spans="2:5" ht="12.75">
      <c r="B123" s="11" t="s">
        <v>147</v>
      </c>
      <c r="C123" s="11" t="s">
        <v>148</v>
      </c>
      <c r="D123" s="11" t="s">
        <v>149</v>
      </c>
      <c r="E123" s="11">
        <v>1325</v>
      </c>
    </row>
    <row r="124" spans="2:5" ht="12.75">
      <c r="B124" s="11" t="s">
        <v>150</v>
      </c>
      <c r="C124" s="11" t="s">
        <v>148</v>
      </c>
      <c r="D124" s="11" t="s">
        <v>151</v>
      </c>
      <c r="E124" s="11">
        <v>670</v>
      </c>
    </row>
    <row r="125" spans="2:5" ht="12.75">
      <c r="B125" s="11" t="s">
        <v>167</v>
      </c>
      <c r="C125" s="11" t="s">
        <v>127</v>
      </c>
      <c r="D125" s="11" t="s">
        <v>168</v>
      </c>
      <c r="E125" s="11">
        <v>1.4</v>
      </c>
    </row>
    <row r="126" spans="2:5" ht="12.75">
      <c r="B126" s="11" t="s">
        <v>169</v>
      </c>
      <c r="C126" s="11" t="s">
        <v>127</v>
      </c>
      <c r="D126" s="11" t="s">
        <v>170</v>
      </c>
      <c r="E126" s="11">
        <v>1.402</v>
      </c>
    </row>
    <row r="127" spans="2:5" ht="12.75">
      <c r="B127" s="12"/>
      <c r="C127" s="12"/>
      <c r="D127" s="12"/>
      <c r="E127" s="12"/>
    </row>
    <row r="128" ht="12.75">
      <c r="B128" t="s">
        <v>136</v>
      </c>
    </row>
    <row r="129" ht="12.75">
      <c r="B129" t="s">
        <v>152</v>
      </c>
    </row>
    <row r="130" spans="2:3" ht="12.75">
      <c r="B130" t="s">
        <v>161</v>
      </c>
      <c r="C130" t="s">
        <v>171</v>
      </c>
    </row>
    <row r="131" ht="12.75">
      <c r="B131" t="s">
        <v>153</v>
      </c>
    </row>
    <row r="133" ht="12.75">
      <c r="B133" t="s">
        <v>162</v>
      </c>
    </row>
    <row r="135" ht="12.75">
      <c r="B135" t="s">
        <v>154</v>
      </c>
    </row>
    <row r="137" ht="12.75">
      <c r="B137" t="s">
        <v>155</v>
      </c>
    </row>
    <row r="139" ht="12.75">
      <c r="B139" t="s">
        <v>156</v>
      </c>
    </row>
    <row r="141" ht="12.75">
      <c r="B141" t="s">
        <v>157</v>
      </c>
    </row>
    <row r="143" ht="12.75">
      <c r="B143" t="s">
        <v>158</v>
      </c>
    </row>
    <row r="144" ht="12.75">
      <c r="B144" t="s">
        <v>163</v>
      </c>
    </row>
    <row r="145" ht="12.75">
      <c r="B145" t="s">
        <v>159</v>
      </c>
    </row>
    <row r="147" ht="12.75">
      <c r="B147" t="s">
        <v>166</v>
      </c>
    </row>
    <row r="148" ht="12.75">
      <c r="B148" t="s">
        <v>186</v>
      </c>
    </row>
    <row r="149" ht="12.75">
      <c r="B149" t="s">
        <v>160</v>
      </c>
    </row>
    <row r="151" ht="12.75">
      <c r="C151" t="s">
        <v>174</v>
      </c>
    </row>
    <row r="152" spans="2:10" ht="12.75">
      <c r="B152" s="11" t="s">
        <v>175</v>
      </c>
      <c r="C152" s="11" t="s">
        <v>176</v>
      </c>
      <c r="D152" s="11">
        <v>1000</v>
      </c>
      <c r="E152" s="11">
        <v>2000</v>
      </c>
      <c r="F152" s="11">
        <v>3000</v>
      </c>
      <c r="G152" s="11">
        <v>4000</v>
      </c>
      <c r="H152" s="11">
        <v>5000</v>
      </c>
      <c r="I152" s="11">
        <v>5600</v>
      </c>
      <c r="J152" s="11">
        <f>5600*1.2</f>
        <v>6720</v>
      </c>
    </row>
    <row r="153" spans="2:10" ht="12.75">
      <c r="B153" s="11"/>
      <c r="C153" s="11" t="s">
        <v>177</v>
      </c>
      <c r="D153" s="11">
        <f aca="true" t="shared" si="6" ref="D153:J153">9554*C100/C96</f>
        <v>91.94723988702624</v>
      </c>
      <c r="E153" s="11">
        <f t="shared" si="6"/>
        <v>98.59526056851313</v>
      </c>
      <c r="F153" s="11">
        <f t="shared" si="6"/>
        <v>100.12941918731775</v>
      </c>
      <c r="G153" s="11">
        <f t="shared" si="6"/>
        <v>96.54971574344023</v>
      </c>
      <c r="H153" s="11">
        <f t="shared" si="6"/>
        <v>87.85615023688047</v>
      </c>
      <c r="I153" s="11">
        <f t="shared" si="6"/>
        <v>80.18535714285714</v>
      </c>
      <c r="J153" s="11">
        <f t="shared" si="6"/>
        <v>60.940871428571405</v>
      </c>
    </row>
    <row r="154" spans="2:10" ht="12.75">
      <c r="B154" s="11"/>
      <c r="C154" s="11" t="s">
        <v>178</v>
      </c>
      <c r="D154" s="11">
        <f aca="true" t="shared" si="7" ref="D154:J154">(0.378*D152*$E111)/($E114*$E112)</f>
        <v>9.106693220083429</v>
      </c>
      <c r="E154" s="11">
        <f t="shared" si="7"/>
        <v>18.213386440166857</v>
      </c>
      <c r="F154" s="11">
        <f t="shared" si="7"/>
        <v>27.32007966025029</v>
      </c>
      <c r="G154" s="11">
        <f t="shared" si="7"/>
        <v>36.426772880333715</v>
      </c>
      <c r="H154" s="11">
        <f t="shared" si="7"/>
        <v>45.533466100417144</v>
      </c>
      <c r="I154" s="11">
        <f t="shared" si="7"/>
        <v>50.99748203246721</v>
      </c>
      <c r="J154" s="11">
        <f t="shared" si="7"/>
        <v>61.19697843896064</v>
      </c>
    </row>
    <row r="155" spans="2:10" ht="12.75">
      <c r="B155" s="11" t="s">
        <v>179</v>
      </c>
      <c r="C155" s="11" t="s">
        <v>180</v>
      </c>
      <c r="D155" s="11">
        <f aca="true" t="shared" si="8" ref="D155:J155">D153*$E114*$E112*$E119/$E111</f>
        <v>3434.8857761653867</v>
      </c>
      <c r="E155" s="11">
        <f t="shared" si="8"/>
        <v>3683.2368055878</v>
      </c>
      <c r="F155" s="11">
        <f t="shared" si="8"/>
        <v>3740.5485816083556</v>
      </c>
      <c r="G155" s="11">
        <f t="shared" si="8"/>
        <v>3606.8211042270577</v>
      </c>
      <c r="H155" s="11">
        <f t="shared" si="8"/>
        <v>3282.0543734439007</v>
      </c>
      <c r="I155" s="11">
        <f t="shared" si="8"/>
        <v>2995.4954933411154</v>
      </c>
      <c r="J155" s="11">
        <f t="shared" si="8"/>
        <v>2276.5765749392467</v>
      </c>
    </row>
    <row r="156" spans="2:10" ht="12.75">
      <c r="B156" s="11"/>
      <c r="C156" s="11" t="s">
        <v>181</v>
      </c>
      <c r="D156" s="11">
        <f aca="true" t="shared" si="9" ref="D156:J156">9.81*$E123*($E120*(1+(D154*D154)/19500))</f>
        <v>195.80295697500293</v>
      </c>
      <c r="E156" s="11">
        <f t="shared" si="9"/>
        <v>198.29057790001173</v>
      </c>
      <c r="F156" s="11">
        <f t="shared" si="9"/>
        <v>202.43661277502642</v>
      </c>
      <c r="G156" s="11">
        <f t="shared" si="9"/>
        <v>208.24106160004695</v>
      </c>
      <c r="H156" s="11">
        <f t="shared" si="9"/>
        <v>215.7039243750734</v>
      </c>
      <c r="I156" s="11">
        <f t="shared" si="9"/>
        <v>220.97768073609208</v>
      </c>
      <c r="J156" s="11">
        <f t="shared" si="9"/>
        <v>232.41941025997264</v>
      </c>
    </row>
    <row r="157" spans="2:10" ht="12.75">
      <c r="B157" s="11"/>
      <c r="C157" s="11" t="s">
        <v>182</v>
      </c>
      <c r="D157" s="11">
        <f aca="true" t="shared" si="10" ref="D157:J157">$E121*(0.78*$E125*$E126)*(D154*D154)/13</f>
        <v>1.9533438907820593</v>
      </c>
      <c r="E157" s="11">
        <f t="shared" si="10"/>
        <v>7.813375563128237</v>
      </c>
      <c r="F157" s="11">
        <f t="shared" si="10"/>
        <v>17.580095017038538</v>
      </c>
      <c r="G157" s="11">
        <f t="shared" si="10"/>
        <v>31.25350225251295</v>
      </c>
      <c r="H157" s="11">
        <f t="shared" si="10"/>
        <v>48.83359726955148</v>
      </c>
      <c r="I157" s="11">
        <f t="shared" si="10"/>
        <v>61.2568644149254</v>
      </c>
      <c r="J157" s="11">
        <f t="shared" si="10"/>
        <v>88.20988475749255</v>
      </c>
    </row>
    <row r="158" spans="2:10" ht="12.75">
      <c r="B158" s="11"/>
      <c r="C158" s="11" t="s">
        <v>183</v>
      </c>
      <c r="D158" s="11">
        <f aca="true" t="shared" si="11" ref="D158:J158">(D155-E295)/(9.81*$E123)</f>
        <v>0.2641072784624549</v>
      </c>
      <c r="E158" s="11">
        <f t="shared" si="11"/>
        <v>0.2827629434750579</v>
      </c>
      <c r="F158" s="11">
        <f t="shared" si="11"/>
        <v>0.2864207479153976</v>
      </c>
      <c r="G158" s="11">
        <f t="shared" si="11"/>
        <v>0.2750806917834743</v>
      </c>
      <c r="H158" s="11">
        <f t="shared" si="11"/>
        <v>0.24874277507928755</v>
      </c>
      <c r="I158" s="11">
        <f t="shared" si="11"/>
        <v>0.22574105198208913</v>
      </c>
      <c r="J158" s="11">
        <f t="shared" si="11"/>
        <v>0.16835856289744805</v>
      </c>
    </row>
    <row r="159" spans="2:10" ht="12.75">
      <c r="B159" s="11"/>
      <c r="C159" s="11" t="s">
        <v>185</v>
      </c>
      <c r="D159" s="11">
        <f aca="true" t="shared" si="12" ref="D159:J159">(9.81*$E124*$E122-E295)/(9.81*$E124)</f>
        <v>0.749702809516518</v>
      </c>
      <c r="E159" s="11">
        <f t="shared" si="12"/>
        <v>0.7488112380660721</v>
      </c>
      <c r="F159" s="11">
        <f t="shared" si="12"/>
        <v>0.7473252856486621</v>
      </c>
      <c r="G159" s="11">
        <f t="shared" si="12"/>
        <v>0.7452449522642882</v>
      </c>
      <c r="H159" s="11">
        <f t="shared" si="12"/>
        <v>0.7425702379129503</v>
      </c>
      <c r="I159" s="11">
        <f t="shared" si="12"/>
        <v>0.740680106438005</v>
      </c>
      <c r="J159" s="11">
        <f t="shared" si="12"/>
        <v>0.736579353270727</v>
      </c>
    </row>
    <row r="160" spans="2:10" ht="12.75">
      <c r="B160" s="11" t="s">
        <v>184</v>
      </c>
      <c r="C160" s="11" t="s">
        <v>178</v>
      </c>
      <c r="D160" s="11">
        <f aca="true" t="shared" si="13" ref="D160:J160">(0.378*D152*$E111)/($E115*$E112)</f>
        <v>16.893845177664975</v>
      </c>
      <c r="E160" s="11">
        <f t="shared" si="13"/>
        <v>33.78769035532995</v>
      </c>
      <c r="F160" s="11">
        <f t="shared" si="13"/>
        <v>50.68153553299492</v>
      </c>
      <c r="G160" s="11">
        <f t="shared" si="13"/>
        <v>67.5753807106599</v>
      </c>
      <c r="H160" s="11">
        <f t="shared" si="13"/>
        <v>84.46922588832487</v>
      </c>
      <c r="I160" s="11">
        <f t="shared" si="13"/>
        <v>94.60553299492386</v>
      </c>
      <c r="J160" s="11">
        <f t="shared" si="13"/>
        <v>113.52663959390863</v>
      </c>
    </row>
    <row r="161" spans="2:10" ht="12.75">
      <c r="B161" s="11"/>
      <c r="C161" s="11" t="s">
        <v>180</v>
      </c>
      <c r="D161" s="11">
        <f aca="true" t="shared" si="14" ref="D161:J161">D153*$E115*$E112*0.9/$E111</f>
        <v>1851.5885922123646</v>
      </c>
      <c r="E161" s="11">
        <f t="shared" si="14"/>
        <v>1985.463184530277</v>
      </c>
      <c r="F161" s="11">
        <f t="shared" si="14"/>
        <v>2016.3573212190256</v>
      </c>
      <c r="G161" s="11">
        <f t="shared" si="14"/>
        <v>1944.2710022786116</v>
      </c>
      <c r="H161" s="11">
        <f t="shared" si="14"/>
        <v>1769.2042277090334</v>
      </c>
      <c r="I161" s="11">
        <f t="shared" si="14"/>
        <v>1614.7335442652875</v>
      </c>
      <c r="J161" s="11">
        <f t="shared" si="14"/>
        <v>1227.1974936416182</v>
      </c>
    </row>
    <row r="162" spans="2:10" ht="12.75">
      <c r="B162" s="11"/>
      <c r="C162" s="11" t="s">
        <v>181</v>
      </c>
      <c r="D162" s="11">
        <f aca="true" t="shared" si="15" ref="D162:J162">9.81*$E123*($E120*(1+(D160*D160)/19500))</f>
        <v>197.82738585386255</v>
      </c>
      <c r="E162" s="11">
        <f t="shared" si="15"/>
        <v>206.38829341545025</v>
      </c>
      <c r="F162" s="11">
        <f t="shared" si="15"/>
        <v>220.65647268476303</v>
      </c>
      <c r="G162" s="11">
        <f t="shared" si="15"/>
        <v>240.63192366180098</v>
      </c>
      <c r="H162" s="11">
        <f t="shared" si="15"/>
        <v>266.314646346564</v>
      </c>
      <c r="I162" s="11">
        <f t="shared" si="15"/>
        <v>284.46377037712995</v>
      </c>
      <c r="J162" s="11">
        <f t="shared" si="15"/>
        <v>323.8393793430671</v>
      </c>
    </row>
    <row r="163" spans="2:10" ht="12.75">
      <c r="B163" s="11"/>
      <c r="C163" s="11" t="s">
        <v>182</v>
      </c>
      <c r="D163" s="11">
        <f aca="true" t="shared" si="16" ref="D163:J163">$E121*(0.78*$E125*$E126)*(D160*D160)/13</f>
        <v>6.722244662304419</v>
      </c>
      <c r="E163" s="11">
        <f t="shared" si="16"/>
        <v>26.888978649217677</v>
      </c>
      <c r="F163" s="11">
        <f t="shared" si="16"/>
        <v>60.50020196073977</v>
      </c>
      <c r="G163" s="11">
        <f t="shared" si="16"/>
        <v>107.5559145968707</v>
      </c>
      <c r="H163" s="11">
        <f t="shared" si="16"/>
        <v>168.05611655761047</v>
      </c>
      <c r="I163" s="11">
        <f t="shared" si="16"/>
        <v>210.8095926098666</v>
      </c>
      <c r="J163" s="11">
        <f t="shared" si="16"/>
        <v>303.56581335820783</v>
      </c>
    </row>
    <row r="164" spans="2:10" ht="12.75">
      <c r="B164" s="11"/>
      <c r="C164" s="11" t="s">
        <v>183</v>
      </c>
      <c r="D164" s="11">
        <f>(D161-E303)/(9.81*$E123)</f>
        <v>0.14193190218299082</v>
      </c>
      <c r="E164" s="11">
        <f aca="true" t="shared" si="17" ref="E164:J164">(E161-E163)/(9.81*$E123)</f>
        <v>0.15067983812290572</v>
      </c>
      <c r="F164" s="11">
        <f t="shared" si="17"/>
        <v>0.1504708033203151</v>
      </c>
      <c r="G164" s="11">
        <f t="shared" si="17"/>
        <v>0.14130479777521904</v>
      </c>
      <c r="H164" s="11">
        <f t="shared" si="17"/>
        <v>0.1231818214876174</v>
      </c>
      <c r="I164" s="11">
        <f t="shared" si="17"/>
        <v>0.10800868975865374</v>
      </c>
      <c r="J164" s="11">
        <f t="shared" si="17"/>
        <v>0.07105815631207357</v>
      </c>
    </row>
    <row r="165" spans="2:10" ht="12.75">
      <c r="B165" s="11"/>
      <c r="C165" s="11" t="s">
        <v>185</v>
      </c>
      <c r="D165" s="11">
        <f>(9.81*$E124*$E122-E303)/(9.81*$E124)</f>
        <v>0.7489772476056561</v>
      </c>
      <c r="E165" s="11">
        <f aca="true" t="shared" si="18" ref="E165:J165">(9.81*$E124*$E122-E163)/(9.81*$E124)</f>
        <v>0.7459089904226243</v>
      </c>
      <c r="F165" s="11">
        <f t="shared" si="18"/>
        <v>0.7407952284509045</v>
      </c>
      <c r="G165" s="11">
        <f t="shared" si="18"/>
        <v>0.7336359616904969</v>
      </c>
      <c r="H165" s="11">
        <f t="shared" si="18"/>
        <v>0.7244311901414016</v>
      </c>
      <c r="I165" s="11">
        <f t="shared" si="18"/>
        <v>0.717926484913374</v>
      </c>
      <c r="J165" s="11">
        <f t="shared" si="18"/>
        <v>0.7038141382752585</v>
      </c>
    </row>
    <row r="166" spans="2:10" ht="12.75">
      <c r="B166" s="11" t="s">
        <v>187</v>
      </c>
      <c r="C166" s="11" t="s">
        <v>178</v>
      </c>
      <c r="D166" s="11">
        <f aca="true" t="shared" si="19" ref="D166:J166">(0.378*D152*$E111)/($E116*$E112)</f>
        <v>24.40083754474823</v>
      </c>
      <c r="E166" s="11">
        <f t="shared" si="19"/>
        <v>48.80167508949646</v>
      </c>
      <c r="F166" s="11">
        <f t="shared" si="19"/>
        <v>73.2025126342447</v>
      </c>
      <c r="G166" s="11">
        <f t="shared" si="19"/>
        <v>97.60335017899293</v>
      </c>
      <c r="H166" s="11">
        <f t="shared" si="19"/>
        <v>122.00418772374115</v>
      </c>
      <c r="I166" s="11">
        <f t="shared" si="19"/>
        <v>136.64469025059012</v>
      </c>
      <c r="J166" s="11">
        <f t="shared" si="19"/>
        <v>163.97362830070813</v>
      </c>
    </row>
    <row r="167" spans="2:10" ht="12.75">
      <c r="B167" s="11"/>
      <c r="C167" s="11" t="s">
        <v>180</v>
      </c>
      <c r="D167" s="11">
        <f aca="true" t="shared" si="20" ref="D167:J167">D153*$E116*$E112*0.9/$E111</f>
        <v>1281.941693689887</v>
      </c>
      <c r="E167" s="11">
        <f t="shared" si="20"/>
        <v>1374.6293578610132</v>
      </c>
      <c r="F167" s="11">
        <f t="shared" si="20"/>
        <v>1396.0188188235804</v>
      </c>
      <c r="G167" s="11">
        <f t="shared" si="20"/>
        <v>1346.11007657759</v>
      </c>
      <c r="H167" s="11">
        <f t="shared" si="20"/>
        <v>1224.9031311230399</v>
      </c>
      <c r="I167" s="11">
        <f t="shared" si="20"/>
        <v>1117.9558263102017</v>
      </c>
      <c r="J167" s="11">
        <f t="shared" si="20"/>
        <v>849.646427995753</v>
      </c>
    </row>
    <row r="168" spans="2:10" ht="12.75">
      <c r="B168" s="11"/>
      <c r="C168" s="11" t="s">
        <v>181</v>
      </c>
      <c r="D168" s="11">
        <f aca="true" t="shared" si="21" ref="D168:J168">9.81*$E123*($E120*(1+(D166*D166)/19500))</f>
        <v>200.9269572276769</v>
      </c>
      <c r="E168" s="11">
        <f t="shared" si="21"/>
        <v>218.78657891070765</v>
      </c>
      <c r="F168" s="11">
        <f t="shared" si="21"/>
        <v>248.55261504909222</v>
      </c>
      <c r="G168" s="11">
        <f t="shared" si="21"/>
        <v>290.22506564283054</v>
      </c>
      <c r="H168" s="11">
        <f t="shared" si="21"/>
        <v>343.8039306919227</v>
      </c>
      <c r="I168" s="11">
        <f t="shared" si="21"/>
        <v>381.66632865994796</v>
      </c>
      <c r="J168" s="11">
        <f t="shared" si="21"/>
        <v>463.81106327032506</v>
      </c>
    </row>
    <row r="169" spans="2:10" ht="12.75">
      <c r="B169" s="11"/>
      <c r="C169" s="11" t="s">
        <v>182</v>
      </c>
      <c r="D169" s="11">
        <f aca="true" t="shared" si="22" ref="D169:J169">$E121*(0.78*$E125*$E126)*(D166*D166)/13</f>
        <v>14.023833999588723</v>
      </c>
      <c r="E169" s="11">
        <f t="shared" si="22"/>
        <v>56.09533599835489</v>
      </c>
      <c r="F169" s="11">
        <f t="shared" si="22"/>
        <v>126.21450599629853</v>
      </c>
      <c r="G169" s="11">
        <f t="shared" si="22"/>
        <v>224.38134399341956</v>
      </c>
      <c r="H169" s="11">
        <f t="shared" si="22"/>
        <v>350.5958499897181</v>
      </c>
      <c r="I169" s="11">
        <f t="shared" si="22"/>
        <v>439.7874342271025</v>
      </c>
      <c r="J169" s="11">
        <f t="shared" si="22"/>
        <v>633.2939052870274</v>
      </c>
    </row>
    <row r="170" spans="2:10" ht="12.75">
      <c r="B170" s="11"/>
      <c r="C170" s="11" t="s">
        <v>183</v>
      </c>
      <c r="D170" s="11">
        <f>(D167-E311)/(9.81*$E123)</f>
        <v>0.09754527414769666</v>
      </c>
      <c r="E170" s="11">
        <f aca="true" t="shared" si="23" ref="E170:J170">(E167-E169)/(9.81*$E123)</f>
        <v>0.1014393492864546</v>
      </c>
      <c r="F170" s="11">
        <f t="shared" si="23"/>
        <v>0.09769040546437265</v>
      </c>
      <c r="G170" s="11">
        <f t="shared" si="23"/>
        <v>0.08629844268145101</v>
      </c>
      <c r="H170" s="11">
        <f t="shared" si="23"/>
        <v>0.06726346093768944</v>
      </c>
      <c r="I170" s="11">
        <f t="shared" si="23"/>
        <v>0.05217382279022939</v>
      </c>
      <c r="J170" s="11">
        <f t="shared" si="23"/>
        <v>0.016644742385223055</v>
      </c>
    </row>
    <row r="171" spans="2:10" ht="12.75">
      <c r="B171" s="11"/>
      <c r="C171" s="11" t="s">
        <v>185</v>
      </c>
      <c r="D171" s="11">
        <f>(9.81*$E124*$E122-E311)/(9.81*$E124)</f>
        <v>0.7478663511190853</v>
      </c>
      <c r="E171" s="11">
        <f aca="true" t="shared" si="24" ref="E171:J171">(9.81*$E124*$E122-E169)/(9.81*$E124)</f>
        <v>0.7414654044763408</v>
      </c>
      <c r="F171" s="11">
        <f t="shared" si="24"/>
        <v>0.7307971600717668</v>
      </c>
      <c r="G171" s="11">
        <f t="shared" si="24"/>
        <v>0.7158616179053632</v>
      </c>
      <c r="H171" s="11">
        <f t="shared" si="24"/>
        <v>0.6966587779771299</v>
      </c>
      <c r="I171" s="11">
        <f t="shared" si="24"/>
        <v>0.6830887710945118</v>
      </c>
      <c r="J171" s="11">
        <f t="shared" si="24"/>
        <v>0.6536478303760971</v>
      </c>
    </row>
    <row r="172" spans="2:10" ht="12.75">
      <c r="B172" s="11" t="s">
        <v>188</v>
      </c>
      <c r="C172" s="11" t="s">
        <v>178</v>
      </c>
      <c r="D172" s="11">
        <f aca="true" t="shared" si="25" ref="D172:J172">(0.378*D152*$E111)/($E117*$E112)</f>
        <v>35.188030338175714</v>
      </c>
      <c r="E172" s="11">
        <f t="shared" si="25"/>
        <v>70.37606067635143</v>
      </c>
      <c r="F172" s="11">
        <f t="shared" si="25"/>
        <v>105.56409101452715</v>
      </c>
      <c r="G172" s="11">
        <f t="shared" si="25"/>
        <v>140.75212135270286</v>
      </c>
      <c r="H172" s="11">
        <f t="shared" si="25"/>
        <v>175.94015169087857</v>
      </c>
      <c r="I172" s="11">
        <f t="shared" si="25"/>
        <v>197.05296989378402</v>
      </c>
      <c r="J172" s="11">
        <f t="shared" si="25"/>
        <v>236.46356387254082</v>
      </c>
    </row>
    <row r="173" spans="2:10" ht="12.75">
      <c r="B173" s="11"/>
      <c r="C173" s="11" t="s">
        <v>180</v>
      </c>
      <c r="D173" s="11">
        <f aca="true" t="shared" si="26" ref="D173:J173">D153*$E117*$E112*0.9/$E111</f>
        <v>888.9514618733851</v>
      </c>
      <c r="E173" s="11">
        <f t="shared" si="26"/>
        <v>953.2249268586688</v>
      </c>
      <c r="F173" s="11">
        <f t="shared" si="26"/>
        <v>968.0572649321954</v>
      </c>
      <c r="G173" s="11">
        <f t="shared" si="26"/>
        <v>933.4484760939661</v>
      </c>
      <c r="H173" s="11">
        <f t="shared" si="26"/>
        <v>849.3985603439797</v>
      </c>
      <c r="I173" s="11">
        <f t="shared" si="26"/>
        <v>775.2368699763447</v>
      </c>
      <c r="J173" s="11">
        <f t="shared" si="26"/>
        <v>589.1800211820218</v>
      </c>
    </row>
    <row r="174" spans="2:10" ht="12.75">
      <c r="B174" s="11"/>
      <c r="C174" s="11" t="s">
        <v>181</v>
      </c>
      <c r="D174" s="11">
        <f>9.81*$E123*($E120*(1+(D223*D223)/19500))</f>
        <v>207.35405798650496</v>
      </c>
      <c r="E174" s="11">
        <f aca="true" t="shared" si="27" ref="E174:J174">9.81*$E123*($E120*(1+(E172*E172)/19500))</f>
        <v>244.49498194601992</v>
      </c>
      <c r="F174" s="11">
        <f t="shared" si="27"/>
        <v>306.39652187854483</v>
      </c>
      <c r="G174" s="11">
        <f t="shared" si="27"/>
        <v>393.05867778407963</v>
      </c>
      <c r="H174" s="11">
        <f t="shared" si="27"/>
        <v>504.48144966262447</v>
      </c>
      <c r="I174" s="11">
        <f t="shared" si="27"/>
        <v>583.2202084567964</v>
      </c>
      <c r="J174" s="11">
        <f t="shared" si="27"/>
        <v>754.0486501777866</v>
      </c>
    </row>
    <row r="175" spans="2:10" ht="12.75">
      <c r="B175" s="11"/>
      <c r="C175" s="11" t="s">
        <v>182</v>
      </c>
      <c r="D175" s="11">
        <f>$E121*(0.78*$E125*$E126)*(D223*D223)/13</f>
        <v>29.164008143267502</v>
      </c>
      <c r="E175" s="11">
        <f aca="true" t="shared" si="28" ref="E175:J175">$E121*(0.78*$E125*$E126)*(E172*E172)/13</f>
        <v>116.65603257307001</v>
      </c>
      <c r="F175" s="11">
        <f t="shared" si="28"/>
        <v>262.47607328940757</v>
      </c>
      <c r="G175" s="11">
        <f t="shared" si="28"/>
        <v>466.62413029228003</v>
      </c>
      <c r="H175" s="11">
        <f t="shared" si="28"/>
        <v>729.1002035816874</v>
      </c>
      <c r="I175" s="11">
        <f t="shared" si="28"/>
        <v>914.5832953728691</v>
      </c>
      <c r="J175" s="11">
        <f t="shared" si="28"/>
        <v>1316.9999453369312</v>
      </c>
    </row>
    <row r="176" spans="2:10" ht="12.75">
      <c r="B176" s="11"/>
      <c r="C176" s="11" t="s">
        <v>183</v>
      </c>
      <c r="D176" s="11">
        <f>(D173-E319)/(9.81*$E123)</f>
        <v>0.06614640076395804</v>
      </c>
      <c r="E176" s="11">
        <f aca="true" t="shared" si="29" ref="E176:J176">(E173-E175)/(9.81*$E123)</f>
        <v>0.06436011726852452</v>
      </c>
      <c r="F176" s="11">
        <f t="shared" si="29"/>
        <v>0.0542827835780038</v>
      </c>
      <c r="G176" s="11">
        <f t="shared" si="29"/>
        <v>0.03591439969239598</v>
      </c>
      <c r="H176" s="11">
        <f t="shared" si="29"/>
        <v>0.009254965611700984</v>
      </c>
      <c r="I176" s="11">
        <f t="shared" si="29"/>
        <v>-0.010720398930357887</v>
      </c>
      <c r="J176" s="11">
        <f t="shared" si="29"/>
        <v>-0.055993685623442334</v>
      </c>
    </row>
    <row r="177" spans="2:10" ht="12.75">
      <c r="B177" s="11"/>
      <c r="C177" s="11" t="s">
        <v>185</v>
      </c>
      <c r="D177" s="11">
        <f>(9.81*$E124*$E122-E319)/(9.81*$E124)</f>
        <v>0.7455628572514693</v>
      </c>
      <c r="E177" s="11">
        <f aca="true" t="shared" si="30" ref="E177:J177">(9.81*$E124*$E122-E175)/(9.81*$E124)</f>
        <v>0.7322514290058774</v>
      </c>
      <c r="F177" s="11">
        <f t="shared" si="30"/>
        <v>0.710065715263224</v>
      </c>
      <c r="G177" s="11">
        <f t="shared" si="30"/>
        <v>0.6790057160235093</v>
      </c>
      <c r="H177" s="11">
        <f t="shared" si="30"/>
        <v>0.6390714312867334</v>
      </c>
      <c r="I177" s="11">
        <f t="shared" si="30"/>
        <v>0.6108512034060783</v>
      </c>
      <c r="J177" s="11">
        <f t="shared" si="30"/>
        <v>0.5496257329047529</v>
      </c>
    </row>
    <row r="178" spans="2:10" ht="12.75">
      <c r="B178" s="11" t="s">
        <v>189</v>
      </c>
      <c r="C178" s="11" t="s">
        <v>178</v>
      </c>
      <c r="D178" s="11">
        <f aca="true" t="shared" si="31" ref="D178:J178">(0.378*D152*$E111)/($E118*$E112)</f>
        <v>42.234612944162436</v>
      </c>
      <c r="E178" s="11">
        <f t="shared" si="31"/>
        <v>84.46922588832487</v>
      </c>
      <c r="F178" s="11">
        <f t="shared" si="31"/>
        <v>126.70383883248729</v>
      </c>
      <c r="G178" s="11">
        <f t="shared" si="31"/>
        <v>168.93845177664974</v>
      </c>
      <c r="H178" s="11">
        <f t="shared" si="31"/>
        <v>211.17306472081214</v>
      </c>
      <c r="I178" s="11">
        <f t="shared" si="31"/>
        <v>236.51383248730963</v>
      </c>
      <c r="J178" s="11">
        <f t="shared" si="31"/>
        <v>283.81659898477153</v>
      </c>
    </row>
    <row r="179" spans="2:10" ht="12.75">
      <c r="B179" s="11"/>
      <c r="C179" s="11" t="s">
        <v>180</v>
      </c>
      <c r="D179" s="11">
        <f aca="true" t="shared" si="32" ref="D179:J179">D153*$E118*$E112*0.9/$E111</f>
        <v>740.6354368849458</v>
      </c>
      <c r="E179" s="11">
        <f t="shared" si="32"/>
        <v>794.1852738121108</v>
      </c>
      <c r="F179" s="11">
        <f t="shared" si="32"/>
        <v>806.5429284876103</v>
      </c>
      <c r="G179" s="11">
        <f t="shared" si="32"/>
        <v>777.7084009114445</v>
      </c>
      <c r="H179" s="11">
        <f t="shared" si="32"/>
        <v>707.6816910836134</v>
      </c>
      <c r="I179" s="11">
        <f t="shared" si="32"/>
        <v>645.8934177061151</v>
      </c>
      <c r="J179" s="11">
        <f t="shared" si="32"/>
        <v>490.8789974566473</v>
      </c>
    </row>
    <row r="180" spans="2:10" ht="12.75">
      <c r="B180" s="11"/>
      <c r="C180" s="11" t="s">
        <v>181</v>
      </c>
      <c r="D180" s="11">
        <f aca="true" t="shared" si="33" ref="D180:J180">9.81*$E123*($E120*(1+(D178*D178)/19500))</f>
        <v>212.80897408664097</v>
      </c>
      <c r="E180" s="11">
        <f t="shared" si="33"/>
        <v>266.314646346564</v>
      </c>
      <c r="F180" s="11">
        <f t="shared" si="33"/>
        <v>355.4907667797691</v>
      </c>
      <c r="G180" s="11">
        <f t="shared" si="33"/>
        <v>480.3373353862563</v>
      </c>
      <c r="H180" s="11">
        <f t="shared" si="33"/>
        <v>640.8543521660253</v>
      </c>
      <c r="I180" s="11">
        <f t="shared" si="33"/>
        <v>754.2863773570622</v>
      </c>
      <c r="J180" s="11">
        <f t="shared" si="33"/>
        <v>1000.3839333941693</v>
      </c>
    </row>
    <row r="181" spans="2:10" ht="12.75">
      <c r="B181" s="11"/>
      <c r="C181" s="11" t="s">
        <v>182</v>
      </c>
      <c r="D181" s="11">
        <f aca="true" t="shared" si="34" ref="D181:J181">$E121*(0.78*$E125*$E126)*(D178*D178)/13</f>
        <v>42.014029139402616</v>
      </c>
      <c r="E181" s="11">
        <f t="shared" si="34"/>
        <v>168.05611655761047</v>
      </c>
      <c r="F181" s="11">
        <f t="shared" si="34"/>
        <v>378.12626225462344</v>
      </c>
      <c r="G181" s="11">
        <f t="shared" si="34"/>
        <v>672.2244662304419</v>
      </c>
      <c r="H181" s="11">
        <f t="shared" si="34"/>
        <v>1050.350728485065</v>
      </c>
      <c r="I181" s="11">
        <f t="shared" si="34"/>
        <v>1317.559953811666</v>
      </c>
      <c r="J181" s="11">
        <f t="shared" si="34"/>
        <v>1897.2863334887986</v>
      </c>
    </row>
    <row r="182" spans="2:10" ht="12.75">
      <c r="B182" s="11"/>
      <c r="C182" s="11" t="s">
        <v>183</v>
      </c>
      <c r="D182" s="11">
        <f>(D179-E327)/(9.81*$E123)</f>
        <v>0.05374734350743701</v>
      </c>
      <c r="E182" s="11">
        <f aca="true" t="shared" si="35" ref="E182:J182">(E179-E181)/(9.81*$E123)</f>
        <v>0.04817026578612508</v>
      </c>
      <c r="F182" s="11">
        <f t="shared" si="35"/>
        <v>0.03295956503629234</v>
      </c>
      <c r="G182" s="11">
        <f t="shared" si="35"/>
        <v>0.008115241257938773</v>
      </c>
      <c r="H182" s="11">
        <f t="shared" si="35"/>
        <v>-0.02636270554893556</v>
      </c>
      <c r="I182" s="11">
        <f t="shared" si="35"/>
        <v>-0.051673612686750206</v>
      </c>
      <c r="J182" s="11">
        <f t="shared" si="35"/>
        <v>-0.1081997450450754</v>
      </c>
    </row>
    <row r="183" spans="2:10" ht="12.75">
      <c r="B183" s="11"/>
      <c r="C183" s="11" t="s">
        <v>185</v>
      </c>
      <c r="D183" s="11">
        <f>(9.81*$E124*$E122-E327)/(9.81*$E124)</f>
        <v>0.7436077975353503</v>
      </c>
      <c r="E183" s="11">
        <f aca="true" t="shared" si="36" ref="E183:J183">(9.81*$E124*$E122-E181)/(9.81*$E124)</f>
        <v>0.7244311901414016</v>
      </c>
      <c r="F183" s="11">
        <f t="shared" si="36"/>
        <v>0.6924701778181533</v>
      </c>
      <c r="G183" s="11">
        <f t="shared" si="36"/>
        <v>0.6477247605656059</v>
      </c>
      <c r="H183" s="11">
        <f t="shared" si="36"/>
        <v>0.5901949383837594</v>
      </c>
      <c r="I183" s="11">
        <f t="shared" si="36"/>
        <v>0.5495405307085877</v>
      </c>
      <c r="J183" s="11">
        <f t="shared" si="36"/>
        <v>0.4613383642203663</v>
      </c>
    </row>
    <row r="186" ht="12.75">
      <c r="B186" t="s">
        <v>190</v>
      </c>
    </row>
    <row r="187" ht="12.75">
      <c r="B187" t="s">
        <v>300</v>
      </c>
    </row>
    <row r="188" ht="12.75">
      <c r="B188" t="s">
        <v>191</v>
      </c>
    </row>
    <row r="189" ht="12.75">
      <c r="B189" t="s">
        <v>192</v>
      </c>
    </row>
    <row r="190" ht="12.75">
      <c r="B190" t="s">
        <v>298</v>
      </c>
    </row>
    <row r="191" ht="12.75">
      <c r="B191" t="s">
        <v>193</v>
      </c>
    </row>
    <row r="194" ht="12.75">
      <c r="B194" t="s">
        <v>201</v>
      </c>
    </row>
    <row r="195" ht="12.75">
      <c r="B195" t="s">
        <v>301</v>
      </c>
    </row>
    <row r="196" ht="12.75">
      <c r="B196" t="s">
        <v>202</v>
      </c>
    </row>
    <row r="198" ht="12.75">
      <c r="B198" t="s">
        <v>203</v>
      </c>
    </row>
    <row r="199" ht="12.75">
      <c r="B199" t="s">
        <v>302</v>
      </c>
    </row>
    <row r="200" ht="12.75">
      <c r="B200" t="s">
        <v>204</v>
      </c>
    </row>
    <row r="203" spans="3:4" ht="12.75">
      <c r="C203">
        <v>0.7</v>
      </c>
      <c r="D203">
        <v>0.1</v>
      </c>
    </row>
    <row r="204" ht="12.75">
      <c r="B204" t="s">
        <v>155</v>
      </c>
    </row>
    <row r="209" spans="2:10" ht="12.75">
      <c r="B209" s="11"/>
      <c r="C209" s="11" t="s">
        <v>194</v>
      </c>
      <c r="D209" s="11"/>
      <c r="E209" s="11"/>
      <c r="F209" s="11"/>
      <c r="G209" s="11"/>
      <c r="H209" s="11"/>
      <c r="I209" s="11"/>
      <c r="J209" s="11"/>
    </row>
    <row r="210" spans="2:10" ht="12.75">
      <c r="B210" s="11" t="s">
        <v>175</v>
      </c>
      <c r="C210" s="11" t="s">
        <v>176</v>
      </c>
      <c r="D210" s="11">
        <v>1000</v>
      </c>
      <c r="E210" s="11">
        <v>2000</v>
      </c>
      <c r="F210" s="11">
        <v>3000</v>
      </c>
      <c r="G210" s="11">
        <v>4000</v>
      </c>
      <c r="H210" s="11">
        <v>5000</v>
      </c>
      <c r="I210" s="11">
        <v>5600</v>
      </c>
      <c r="J210" s="11">
        <f>5600*1.2</f>
        <v>6720</v>
      </c>
    </row>
    <row r="211" spans="2:10" ht="12.75">
      <c r="B211" s="11"/>
      <c r="C211" s="11" t="s">
        <v>178</v>
      </c>
      <c r="D211" s="11">
        <f>(0.378*D152*$E111)/($E114*$E112)</f>
        <v>9.106693220083429</v>
      </c>
      <c r="E211" s="11">
        <f aca="true" t="shared" si="37" ref="E211:J211">(0.378*E152*$E111)/($E114*$E112)</f>
        <v>18.213386440166857</v>
      </c>
      <c r="F211" s="11">
        <f t="shared" si="37"/>
        <v>27.32007966025029</v>
      </c>
      <c r="G211" s="11">
        <f t="shared" si="37"/>
        <v>36.426772880333715</v>
      </c>
      <c r="H211" s="11">
        <f t="shared" si="37"/>
        <v>45.533466100417144</v>
      </c>
      <c r="I211" s="11">
        <f t="shared" si="37"/>
        <v>50.99748203246721</v>
      </c>
      <c r="J211" s="11">
        <f t="shared" si="37"/>
        <v>61.19697843896064</v>
      </c>
    </row>
    <row r="212" spans="2:10" ht="12.75">
      <c r="B212" s="11" t="s">
        <v>179</v>
      </c>
      <c r="C212" s="11" t="s">
        <v>195</v>
      </c>
      <c r="D212" s="11">
        <f>0.015*(1+(D211*D211)/19500)</f>
        <v>0.015063793739542086</v>
      </c>
      <c r="E212" s="11">
        <f aca="true" t="shared" si="38" ref="E212:J212">0.015*(1+(E211*E211)/19500)</f>
        <v>0.015255174958168348</v>
      </c>
      <c r="F212" s="11">
        <f t="shared" si="38"/>
        <v>0.015574143655878786</v>
      </c>
      <c r="G212" s="11">
        <f t="shared" si="38"/>
        <v>0.016020699832673395</v>
      </c>
      <c r="H212" s="11">
        <f t="shared" si="38"/>
        <v>0.016594843488552183</v>
      </c>
      <c r="I212" s="11">
        <f t="shared" si="38"/>
        <v>0.017000571672039857</v>
      </c>
      <c r="J212" s="11">
        <f t="shared" si="38"/>
        <v>0.017880823207737397</v>
      </c>
    </row>
    <row r="213" spans="2:10" ht="12.75">
      <c r="B213" s="11" t="s">
        <v>205</v>
      </c>
      <c r="C213" s="11" t="s">
        <v>196</v>
      </c>
      <c r="D213" s="11">
        <f>(D155-E295)/(9.81*$E123)</f>
        <v>0.2641072784624549</v>
      </c>
      <c r="E213" s="11">
        <f aca="true" t="shared" si="39" ref="E213:J213">(E155-E157)/(9.81*$E123)</f>
        <v>0.2827629434750579</v>
      </c>
      <c r="F213" s="11">
        <f t="shared" si="39"/>
        <v>0.2864207479153976</v>
      </c>
      <c r="G213" s="11">
        <f t="shared" si="39"/>
        <v>0.2750806917834743</v>
      </c>
      <c r="H213" s="11">
        <f t="shared" si="39"/>
        <v>0.24874277507928755</v>
      </c>
      <c r="I213" s="11">
        <f t="shared" si="39"/>
        <v>0.22574105198208913</v>
      </c>
      <c r="J213" s="11">
        <f t="shared" si="39"/>
        <v>0.16835856289744805</v>
      </c>
    </row>
    <row r="214" spans="2:10" ht="12.75">
      <c r="B214" s="11">
        <f>1+(0.7+0.1*(E114*E114)*(E112*E112)*E119)/(E123*(E111*E111))</f>
        <v>1.121462847397954</v>
      </c>
      <c r="C214" s="11" t="s">
        <v>197</v>
      </c>
      <c r="D214" s="11">
        <f>9.81*(D213-D212)/$B214</f>
        <v>2.1785087136861954</v>
      </c>
      <c r="E214" s="11">
        <f aca="true" t="shared" si="40" ref="E214:J214">9.81*(E213-E212)/$B214</f>
        <v>2.3400250977903903</v>
      </c>
      <c r="F214" s="11">
        <f t="shared" si="40"/>
        <v>2.369231574590928</v>
      </c>
      <c r="G214" s="11">
        <f t="shared" si="40"/>
        <v>2.2661281440878103</v>
      </c>
      <c r="H214" s="11">
        <f t="shared" si="40"/>
        <v>2.030714806281035</v>
      </c>
      <c r="I214" s="11">
        <f t="shared" si="40"/>
        <v>1.8259580480912143</v>
      </c>
      <c r="J214" s="11">
        <f t="shared" si="40"/>
        <v>1.3163045300886662</v>
      </c>
    </row>
    <row r="215" spans="2:10" ht="12.75">
      <c r="B215" s="11" t="s">
        <v>184</v>
      </c>
      <c r="C215" s="11" t="s">
        <v>178</v>
      </c>
      <c r="D215" s="11">
        <f aca="true" t="shared" si="41" ref="D215:J215">(0.378*D152*$E111)/($E115*$E112)</f>
        <v>16.893845177664975</v>
      </c>
      <c r="E215" s="11">
        <f t="shared" si="41"/>
        <v>33.78769035532995</v>
      </c>
      <c r="F215" s="11">
        <f t="shared" si="41"/>
        <v>50.68153553299492</v>
      </c>
      <c r="G215" s="11">
        <f t="shared" si="41"/>
        <v>67.5753807106599</v>
      </c>
      <c r="H215" s="11">
        <f t="shared" si="41"/>
        <v>84.46922588832487</v>
      </c>
      <c r="I215" s="11">
        <f t="shared" si="41"/>
        <v>94.60553299492386</v>
      </c>
      <c r="J215" s="11">
        <f t="shared" si="41"/>
        <v>113.52663959390863</v>
      </c>
    </row>
    <row r="216" spans="2:10" ht="12.75">
      <c r="B216" s="11"/>
      <c r="C216" s="11" t="s">
        <v>195</v>
      </c>
      <c r="D216" s="11">
        <f aca="true" t="shared" si="42" ref="D216:J216">0.015*(1+(D215*D215)/19500)</f>
        <v>0.015219540003759163</v>
      </c>
      <c r="E216" s="11">
        <f t="shared" si="42"/>
        <v>0.015878160015036658</v>
      </c>
      <c r="F216" s="11">
        <f t="shared" si="42"/>
        <v>0.01697586003383248</v>
      </c>
      <c r="G216" s="11">
        <f t="shared" si="42"/>
        <v>0.018512640060146635</v>
      </c>
      <c r="H216" s="11">
        <f t="shared" si="42"/>
        <v>0.020488500093979116</v>
      </c>
      <c r="I216" s="11">
        <f t="shared" si="42"/>
        <v>0.021884774517887406</v>
      </c>
      <c r="J216" s="11">
        <f t="shared" si="42"/>
        <v>0.02491407530575786</v>
      </c>
    </row>
    <row r="217" spans="2:10" ht="12.75">
      <c r="B217" s="11" t="s">
        <v>198</v>
      </c>
      <c r="C217" s="11" t="s">
        <v>199</v>
      </c>
      <c r="D217" s="11">
        <f>(D161-E303)/(9.81*$E123)</f>
        <v>0.14193190218299082</v>
      </c>
      <c r="E217" s="11">
        <f aca="true" t="shared" si="43" ref="E217:J217">(E161-E163)/(9.81*$E123)</f>
        <v>0.15067983812290572</v>
      </c>
      <c r="F217" s="11">
        <f t="shared" si="43"/>
        <v>0.1504708033203151</v>
      </c>
      <c r="G217" s="11">
        <f t="shared" si="43"/>
        <v>0.14130479777521904</v>
      </c>
      <c r="H217" s="11">
        <f t="shared" si="43"/>
        <v>0.1231818214876174</v>
      </c>
      <c r="I217" s="11">
        <f t="shared" si="43"/>
        <v>0.10800868975865374</v>
      </c>
      <c r="J217" s="11">
        <f t="shared" si="43"/>
        <v>0.07105815631207357</v>
      </c>
    </row>
    <row r="218" spans="2:10" ht="12.75">
      <c r="B218" s="11">
        <f>1+(C203+D203*(E115*E115)*(E112*E112)*E119)/(E123*(E111*E111))</f>
        <v>1.038440924379029</v>
      </c>
      <c r="C218" s="11" t="s">
        <v>200</v>
      </c>
      <c r="D218" s="11">
        <f aca="true" t="shared" si="44" ref="D218:J218">9.81*(D217-D216)/$B218</f>
        <v>1.1970332098781504</v>
      </c>
      <c r="E218" s="11">
        <f t="shared" si="44"/>
        <v>1.2734517979720148</v>
      </c>
      <c r="F218" s="11">
        <f t="shared" si="44"/>
        <v>1.2611072646462826</v>
      </c>
      <c r="G218" s="11">
        <f t="shared" si="44"/>
        <v>1.1599996099009546</v>
      </c>
      <c r="H218" s="11">
        <f t="shared" si="44"/>
        <v>0.9701288337360295</v>
      </c>
      <c r="I218" s="11">
        <f t="shared" si="44"/>
        <v>0.8136000697556676</v>
      </c>
      <c r="J218" s="11">
        <f t="shared" si="44"/>
        <v>0.4359164051076364</v>
      </c>
    </row>
    <row r="219" spans="2:13" ht="12.75">
      <c r="B219" s="11" t="s">
        <v>187</v>
      </c>
      <c r="C219" s="11" t="s">
        <v>178</v>
      </c>
      <c r="D219" s="11">
        <f aca="true" t="shared" si="45" ref="D219:J219">(0.378*D152*$E111)/($E116*$E112)</f>
        <v>24.40083754474823</v>
      </c>
      <c r="E219" s="11">
        <f t="shared" si="45"/>
        <v>48.80167508949646</v>
      </c>
      <c r="F219" s="11">
        <f t="shared" si="45"/>
        <v>73.2025126342447</v>
      </c>
      <c r="G219" s="11">
        <f t="shared" si="45"/>
        <v>97.60335017899293</v>
      </c>
      <c r="H219" s="11">
        <f t="shared" si="45"/>
        <v>122.00418772374115</v>
      </c>
      <c r="I219" s="11">
        <f t="shared" si="45"/>
        <v>136.64469025059012</v>
      </c>
      <c r="J219" s="11">
        <f t="shared" si="45"/>
        <v>163.97362830070813</v>
      </c>
      <c r="L219">
        <f>0.5*0.2*(2.5+(2.5-9.81*0.2*D212))</f>
        <v>0.4970444836683019</v>
      </c>
      <c r="M219">
        <f>1.38+1.11+0.81+0.25+1.12+1.12+0.25+0.25+2.05+1.45+1.35+0.55+1.17+4.02+4.39+5.18+6.2+1.25+1.6+18.6+56+66</f>
        <v>176.1</v>
      </c>
    </row>
    <row r="220" spans="2:12" ht="12.75">
      <c r="B220" s="11"/>
      <c r="C220" s="11" t="s">
        <v>195</v>
      </c>
      <c r="D220" s="11">
        <f aca="true" t="shared" si="46" ref="D220:J220">0.015*(1+(D219*D219)/19500)</f>
        <v>0.015458000671450148</v>
      </c>
      <c r="E220" s="11">
        <f t="shared" si="46"/>
        <v>0.0168320026858006</v>
      </c>
      <c r="F220" s="11">
        <f t="shared" si="46"/>
        <v>0.01912200604305135</v>
      </c>
      <c r="G220" s="11">
        <f t="shared" si="46"/>
        <v>0.022328010743202398</v>
      </c>
      <c r="H220" s="11">
        <f t="shared" si="46"/>
        <v>0.026450016786253742</v>
      </c>
      <c r="I220" s="11">
        <f t="shared" si="46"/>
        <v>0.029362901056676702</v>
      </c>
      <c r="J220" s="11">
        <f t="shared" si="46"/>
        <v>0.03568257752161445</v>
      </c>
      <c r="L220">
        <f>0.5*0.2*(5+(5-0.2*9.81*E212))</f>
        <v>0.9970069346732076</v>
      </c>
    </row>
    <row r="221" spans="2:12" ht="12.75">
      <c r="B221" s="11" t="s">
        <v>212</v>
      </c>
      <c r="C221" s="11" t="s">
        <v>206</v>
      </c>
      <c r="D221" s="11">
        <f>(D167-E311)/(9.81*$E123)</f>
        <v>0.09754527414769666</v>
      </c>
      <c r="E221" s="11">
        <f aca="true" t="shared" si="47" ref="E221:J221">(E167-E169)/(9.81*$E123)</f>
        <v>0.1014393492864546</v>
      </c>
      <c r="F221" s="11">
        <f t="shared" si="47"/>
        <v>0.09769040546437265</v>
      </c>
      <c r="G221" s="11">
        <f t="shared" si="47"/>
        <v>0.08629844268145101</v>
      </c>
      <c r="H221" s="11">
        <f t="shared" si="47"/>
        <v>0.06726346093768944</v>
      </c>
      <c r="I221" s="11">
        <f t="shared" si="47"/>
        <v>0.05217382279022939</v>
      </c>
      <c r="J221" s="11">
        <f t="shared" si="47"/>
        <v>0.016644742385223055</v>
      </c>
      <c r="L221">
        <f>0.5*0.2*(6.9+(6.9-9.81*0.2*F212))</f>
        <v>1.376944353014717</v>
      </c>
    </row>
    <row r="222" spans="2:12" ht="12.75">
      <c r="B222" s="11">
        <f>1+(C203+D203*(E116*E116)*(E112*E112)*E119)/(E123*(E111*E111))</f>
        <v>1.0207356014552833</v>
      </c>
      <c r="C222" s="11" t="s">
        <v>207</v>
      </c>
      <c r="D222" s="11">
        <f aca="true" t="shared" si="48" ref="D222:J222">9.81*(D221-D220)/$B222</f>
        <v>0.7889174744702545</v>
      </c>
      <c r="E222" s="11">
        <f t="shared" si="48"/>
        <v>0.8131371816257519</v>
      </c>
      <c r="F222" s="11">
        <f t="shared" si="48"/>
        <v>0.7550985752081926</v>
      </c>
      <c r="G222" s="11">
        <f t="shared" si="48"/>
        <v>0.6148016552175787</v>
      </c>
      <c r="H222" s="11">
        <f t="shared" si="48"/>
        <v>0.3922464216539078</v>
      </c>
      <c r="I222" s="11">
        <f t="shared" si="48"/>
        <v>0.21922929100063832</v>
      </c>
      <c r="J222" s="11">
        <f t="shared" si="48"/>
        <v>-0.1829672271856987</v>
      </c>
      <c r="L222">
        <f>0.5*0.2*(7.5+(7.5-9.81*0.2*G212))</f>
        <v>1.4968567386928298</v>
      </c>
    </row>
    <row r="223" spans="2:12" ht="12.75">
      <c r="B223" s="11" t="s">
        <v>188</v>
      </c>
      <c r="C223" s="11" t="s">
        <v>178</v>
      </c>
      <c r="D223" s="11">
        <f>(0.378*D152*$E111)/($E117*$E112)</f>
        <v>35.188030338175714</v>
      </c>
      <c r="E223" s="11">
        <f aca="true" t="shared" si="49" ref="E223:J223">(0.378*E152*$E111)/($E117*$E112)</f>
        <v>70.37606067635143</v>
      </c>
      <c r="F223" s="11">
        <f t="shared" si="49"/>
        <v>105.56409101452715</v>
      </c>
      <c r="G223" s="11">
        <f t="shared" si="49"/>
        <v>140.75212135270286</v>
      </c>
      <c r="H223" s="11">
        <f t="shared" si="49"/>
        <v>175.94015169087857</v>
      </c>
      <c r="I223" s="11">
        <f t="shared" si="49"/>
        <v>197.05296989378402</v>
      </c>
      <c r="J223" s="11">
        <f t="shared" si="49"/>
        <v>236.46356387254082</v>
      </c>
      <c r="L223">
        <f>0.5*0.2*(10+(10-9.81*0.2*H212))</f>
        <v>1.996744091707546</v>
      </c>
    </row>
    <row r="224" spans="2:12" ht="12.75">
      <c r="B224" s="11"/>
      <c r="C224" s="11" t="s">
        <v>195</v>
      </c>
      <c r="D224" s="11">
        <f>0.015*(1+(D223*D223)/19500)</f>
        <v>0.015952459599292593</v>
      </c>
      <c r="E224" s="11">
        <f aca="true" t="shared" si="50" ref="E224:J224">0.015*(1+(E223*E223)/19500)</f>
        <v>0.018809838397170382</v>
      </c>
      <c r="F224" s="11">
        <f t="shared" si="50"/>
        <v>0.023572136393633362</v>
      </c>
      <c r="G224" s="11">
        <f t="shared" si="50"/>
        <v>0.030239353588681527</v>
      </c>
      <c r="H224" s="11">
        <f t="shared" si="50"/>
        <v>0.03881148998231489</v>
      </c>
      <c r="I224" s="11">
        <f t="shared" si="50"/>
        <v>0.04486913303381581</v>
      </c>
      <c r="J224" s="11">
        <f t="shared" si="50"/>
        <v>0.05801155156869475</v>
      </c>
      <c r="L224">
        <f>0.5*0.2*(12.5+(12.5-9.81*0.2*H212))</f>
        <v>2.496744091707546</v>
      </c>
    </row>
    <row r="225" spans="2:12" ht="12.75">
      <c r="B225" s="11" t="s">
        <v>213</v>
      </c>
      <c r="C225" s="11" t="s">
        <v>208</v>
      </c>
      <c r="D225" s="11">
        <f>(D173-E319)/(9.81*$E123)</f>
        <v>0.06614640076395804</v>
      </c>
      <c r="E225" s="11">
        <f aca="true" t="shared" si="51" ref="E225:J225">(E173-F319)/(9.81*$E123)</f>
        <v>0.06436011726852452</v>
      </c>
      <c r="F225" s="11">
        <f t="shared" si="51"/>
        <v>0.0542827835780038</v>
      </c>
      <c r="G225" s="11">
        <f t="shared" si="51"/>
        <v>0.03591439969239598</v>
      </c>
      <c r="H225" s="11">
        <f t="shared" si="51"/>
        <v>0.009254965611700984</v>
      </c>
      <c r="I225" s="11">
        <f t="shared" si="51"/>
        <v>-0.010720398930357887</v>
      </c>
      <c r="J225" s="11">
        <f t="shared" si="51"/>
        <v>-0.055993685623442334</v>
      </c>
      <c r="L225">
        <f>0.5*0.2*(12+(12-9.81*0.2*D216))</f>
        <v>2.3970139262512626</v>
      </c>
    </row>
    <row r="226" spans="2:12" ht="12.75">
      <c r="B226" s="11">
        <f>1+(C203+D203*(E117*E117)*(E112*E112)*E119)/(E123*(E111*E111))</f>
        <v>1.0122733792806737</v>
      </c>
      <c r="C226" s="11" t="s">
        <v>209</v>
      </c>
      <c r="D226" s="11">
        <f aca="true" t="shared" si="52" ref="D226:J226">9.81*(D225-D224)/$B226</f>
        <v>0.4864323935647421</v>
      </c>
      <c r="E226" s="11">
        <f t="shared" si="52"/>
        <v>0.44143039308760307</v>
      </c>
      <c r="F226" s="11">
        <f t="shared" si="52"/>
        <v>0.29761866215701427</v>
      </c>
      <c r="G226" s="11">
        <f t="shared" si="52"/>
        <v>0.054997200772976686</v>
      </c>
      <c r="H226" s="11">
        <f t="shared" si="52"/>
        <v>-0.28643399106451056</v>
      </c>
      <c r="I226" s="11">
        <f t="shared" si="52"/>
        <v>-0.5387213767846591</v>
      </c>
      <c r="J226" s="11">
        <f t="shared" si="52"/>
        <v>-1.104831362501698</v>
      </c>
      <c r="L226">
        <f>0.5*0.2*(12.5+(12.5-9.81*0.2*E216))</f>
        <v>2.49688470500505</v>
      </c>
    </row>
    <row r="227" spans="2:12" ht="12.75">
      <c r="B227" s="11" t="s">
        <v>189</v>
      </c>
      <c r="C227" s="11" t="s">
        <v>178</v>
      </c>
      <c r="D227" s="11">
        <f aca="true" t="shared" si="53" ref="D227:J227">(0.378*D152*$E111)/($E118*$E112)</f>
        <v>42.234612944162436</v>
      </c>
      <c r="E227" s="11">
        <f t="shared" si="53"/>
        <v>84.46922588832487</v>
      </c>
      <c r="F227" s="11">
        <f t="shared" si="53"/>
        <v>126.70383883248729</v>
      </c>
      <c r="G227" s="11">
        <f t="shared" si="53"/>
        <v>168.93845177664974</v>
      </c>
      <c r="H227" s="11">
        <f t="shared" si="53"/>
        <v>211.17306472081214</v>
      </c>
      <c r="I227" s="11">
        <f t="shared" si="53"/>
        <v>236.51383248730963</v>
      </c>
      <c r="J227" s="11">
        <f t="shared" si="53"/>
        <v>283.81659898477153</v>
      </c>
      <c r="L227">
        <f>0.5*0.2*(16.6+(16.6-9.81*0.2*F216))</f>
        <v>3.316669336261363</v>
      </c>
    </row>
    <row r="228" spans="2:12" ht="12.75">
      <c r="B228" s="11"/>
      <c r="C228" s="11" t="s">
        <v>195</v>
      </c>
      <c r="D228" s="11">
        <f aca="true" t="shared" si="54" ref="D228:J228">0.015*(1+(D227*D227)/19500)</f>
        <v>0.016372125023494777</v>
      </c>
      <c r="E228" s="11">
        <f t="shared" si="54"/>
        <v>0.020488500093979116</v>
      </c>
      <c r="F228" s="11">
        <f t="shared" si="54"/>
        <v>0.02734912521145301</v>
      </c>
      <c r="G228" s="11">
        <f t="shared" si="54"/>
        <v>0.03695400037591647</v>
      </c>
      <c r="H228" s="11">
        <f t="shared" si="54"/>
        <v>0.04930312558736947</v>
      </c>
      <c r="I228" s="11">
        <f t="shared" si="54"/>
        <v>0.058029840736796276</v>
      </c>
      <c r="J228" s="11">
        <f t="shared" si="54"/>
        <v>0.07696297066098662</v>
      </c>
      <c r="L228">
        <f>0.5*0.2*(19.5+(19.5-9.81*0.2*G216))</f>
        <v>3.8963678200202</v>
      </c>
    </row>
    <row r="229" spans="2:12" ht="12.75">
      <c r="B229" s="11" t="s">
        <v>214</v>
      </c>
      <c r="C229" s="11" t="s">
        <v>210</v>
      </c>
      <c r="D229" s="11">
        <f>(D179-E327)/(9.81*$E123)</f>
        <v>0.05374734350743701</v>
      </c>
      <c r="E229" s="11">
        <f aca="true" t="shared" si="55" ref="E229:J229">(E179-E181)/(9.81*$E123)</f>
        <v>0.04817026578612508</v>
      </c>
      <c r="F229" s="11">
        <f t="shared" si="55"/>
        <v>0.03295956503629234</v>
      </c>
      <c r="G229" s="11">
        <f t="shared" si="55"/>
        <v>0.008115241257938773</v>
      </c>
      <c r="H229" s="11">
        <f t="shared" si="55"/>
        <v>-0.02636270554893556</v>
      </c>
      <c r="I229" s="11">
        <f t="shared" si="55"/>
        <v>-0.051673612686750206</v>
      </c>
      <c r="J229" s="11">
        <f t="shared" si="55"/>
        <v>-0.1081997450450754</v>
      </c>
      <c r="L229">
        <f>0.5*0.2*(22.2+(22.2-9.81*0.2*H216))</f>
        <v>4.435980156281562</v>
      </c>
    </row>
    <row r="230" spans="2:12" ht="12.75">
      <c r="B230" s="11">
        <f>1+(C203+D203*(E118*E118)*(E112*E112)*E119)/(E123*(E111*E111))</f>
        <v>1.0098760382395107</v>
      </c>
      <c r="C230" s="11" t="s">
        <v>211</v>
      </c>
      <c r="D230" s="11">
        <f aca="true" t="shared" si="56" ref="D230:J230">9.81*(D229-D228)/$B230</f>
        <v>0.3630652470640316</v>
      </c>
      <c r="E230" s="11">
        <f t="shared" si="56"/>
        <v>0.2689024307511561</v>
      </c>
      <c r="F230" s="11">
        <f t="shared" si="56"/>
        <v>0.05450016892926859</v>
      </c>
      <c r="G230" s="11">
        <f t="shared" si="56"/>
        <v>-0.28014153840163136</v>
      </c>
      <c r="H230" s="11">
        <f t="shared" si="56"/>
        <v>-0.7350226912415428</v>
      </c>
      <c r="I230" s="11">
        <f t="shared" si="56"/>
        <v>-1.0656663167898164</v>
      </c>
      <c r="J230" s="11">
        <f t="shared" si="56"/>
        <v>-1.798682385060873</v>
      </c>
      <c r="L230">
        <f>0.2*0.5*(23.3+(23.3-9.81*0.2*H216))</f>
        <v>4.6559801562815615</v>
      </c>
    </row>
    <row r="231" ht="12.75">
      <c r="L231">
        <f>0.5*0.2*(22.3+(22.3-9.81*0.2*D220))</f>
        <v>4.456967140268262</v>
      </c>
    </row>
    <row r="232" ht="12.75">
      <c r="L232">
        <f>0.2*0.5*(25+(25-9.81*0.2*E220))</f>
        <v>4.996697561073046</v>
      </c>
    </row>
    <row r="233" spans="2:12" ht="12.75">
      <c r="B233" t="s">
        <v>215</v>
      </c>
      <c r="L233">
        <f>0.5*0.2*(27.7+(27.7-9.81*0.2*F220))</f>
        <v>5.536248262414354</v>
      </c>
    </row>
    <row r="234" spans="2:12" ht="12.75">
      <c r="B234" t="s">
        <v>216</v>
      </c>
      <c r="L234">
        <f>0.5*0.2*(30.5+(30.5-9.81*0.2*G220))</f>
        <v>6.095619244292184</v>
      </c>
    </row>
    <row r="235" spans="2:12" ht="12.75">
      <c r="B235" t="s">
        <v>217</v>
      </c>
      <c r="L235">
        <f>0.5*0.2*(33.3+(33.3-9.81*0.2*H220))</f>
        <v>6.654810506706537</v>
      </c>
    </row>
    <row r="236" ht="12.75">
      <c r="L236">
        <f>0.5*0.2*(33.8+(33.8-9.81*0.2*I220))</f>
        <v>6.754238998812679</v>
      </c>
    </row>
    <row r="237" ht="12.75">
      <c r="L237">
        <f>0.5*0.2*(33.3+(33.3-9.81*0.2*D224))</f>
        <v>6.656870127426618</v>
      </c>
    </row>
    <row r="238" ht="12.75">
      <c r="L238">
        <f>0.2*0.5*(36.1+(36.1-9.81*0.2*E224))</f>
        <v>7.216309509706476</v>
      </c>
    </row>
    <row r="239" spans="2:12" ht="12.75">
      <c r="B239" t="s">
        <v>221</v>
      </c>
      <c r="L239">
        <f>0.5*0.2*(38.9+(38.9-9.81*0.2*F224))</f>
        <v>7.775375146839569</v>
      </c>
    </row>
    <row r="240" ht="12.75">
      <c r="L240">
        <f>0.5*0.2*(42.2+(42.2-9.81*0.2*G224))</f>
        <v>8.434067038825901</v>
      </c>
    </row>
    <row r="241" spans="2:12" ht="12.75">
      <c r="B241" t="s">
        <v>222</v>
      </c>
      <c r="L241">
        <f>SUM(L219:L240)</f>
        <v>94.63744032993078</v>
      </c>
    </row>
    <row r="243" spans="2:8" ht="12.75">
      <c r="B243" s="11" t="s">
        <v>218</v>
      </c>
      <c r="C243" s="11">
        <v>5</v>
      </c>
      <c r="D243" s="11">
        <v>10</v>
      </c>
      <c r="E243" s="11">
        <v>15</v>
      </c>
      <c r="F243" s="11">
        <v>20</v>
      </c>
      <c r="G243" s="12"/>
      <c r="H243" s="12"/>
    </row>
    <row r="244" spans="2:8" ht="12.75">
      <c r="B244" s="11" t="s">
        <v>219</v>
      </c>
      <c r="C244" s="11">
        <f>C243*C243/(2*9.81*0.6)</f>
        <v>2.123683316343867</v>
      </c>
      <c r="D244" s="11">
        <f>D243*D243/(2*9.81*0.6)</f>
        <v>8.494733265375467</v>
      </c>
      <c r="E244" s="11">
        <f>E243*E243/(2*9.81*0.6)</f>
        <v>19.1131498470948</v>
      </c>
      <c r="F244" s="11">
        <f>F243*F243/(2*9.81*0.6)</f>
        <v>33.97893306150187</v>
      </c>
      <c r="G244" s="12"/>
      <c r="H244" s="12"/>
    </row>
    <row r="245" spans="2:8" ht="12.75">
      <c r="B245" s="11" t="s">
        <v>220</v>
      </c>
      <c r="C245" s="11">
        <f>C244*1.4+(0.5+0.2)*C243</f>
        <v>6.473156642881413</v>
      </c>
      <c r="D245" s="11">
        <f>D244*1.4+(0.5+0.2)*D243</f>
        <v>18.892626571525653</v>
      </c>
      <c r="E245" s="11">
        <f>E244*1.4+(0.5+0.2)*E243</f>
        <v>37.25840978593271</v>
      </c>
      <c r="F245" s="11">
        <f>F244*1.4+(0.5+0.2)*F243</f>
        <v>61.570506286102614</v>
      </c>
      <c r="G245" s="12"/>
      <c r="H245" s="12"/>
    </row>
    <row r="247" ht="12.75">
      <c r="B247" t="s">
        <v>223</v>
      </c>
    </row>
    <row r="248" ht="12.75">
      <c r="B248" t="s">
        <v>224</v>
      </c>
    </row>
    <row r="252" ht="12.75">
      <c r="B252" t="s">
        <v>225</v>
      </c>
    </row>
    <row r="253" ht="12.75">
      <c r="B253" t="s">
        <v>226</v>
      </c>
    </row>
    <row r="254" spans="2:8" ht="12.75">
      <c r="B254" t="s">
        <v>227</v>
      </c>
      <c r="F254" s="12"/>
      <c r="G254" s="12"/>
      <c r="H254" s="12"/>
    </row>
    <row r="255" ht="12.75">
      <c r="B255" t="s">
        <v>228</v>
      </c>
    </row>
    <row r="258" spans="2:8" ht="12.75">
      <c r="B258" s="11" t="s">
        <v>233</v>
      </c>
      <c r="C258" s="18">
        <v>0.1</v>
      </c>
      <c r="D258" s="11">
        <v>0.3</v>
      </c>
      <c r="E258" s="11">
        <v>0.5</v>
      </c>
      <c r="F258" s="11">
        <v>0.7</v>
      </c>
      <c r="G258" s="12"/>
      <c r="H258" s="12"/>
    </row>
    <row r="259" spans="2:8" ht="12.75">
      <c r="B259" s="11" t="s">
        <v>229</v>
      </c>
      <c r="C259" s="18">
        <f>9.81*($C12+($C10*C258*0.65)/2.146)</f>
        <v>6966.402819198509</v>
      </c>
      <c r="D259" s="18">
        <f>9.81*($C12+($C10*D258*0.65)/2.146)</f>
        <v>7753.808457595527</v>
      </c>
      <c r="E259" s="18">
        <f>9.81*($C12+($C10*E258*0.65)/2.146)</f>
        <v>8541.214095992544</v>
      </c>
      <c r="F259" s="18">
        <f>9.81*($C12+($C10*F258*0.65)/2.146)</f>
        <v>9328.619734389562</v>
      </c>
      <c r="G259" s="12"/>
      <c r="H259" s="12"/>
    </row>
    <row r="260" spans="2:8" ht="12.75">
      <c r="B260" s="11" t="s">
        <v>230</v>
      </c>
      <c r="C260" s="18">
        <f>9.81*($C13-($C10*C258*0.65)/2.146)</f>
        <v>6129.947180801491</v>
      </c>
      <c r="D260" s="18">
        <f>9.81*($C13-($C10*D258*0.65)/2.146)</f>
        <v>5342.541542404473</v>
      </c>
      <c r="E260" s="18">
        <f>9.81*($C13-($C10*E258*0.65)/2.146)</f>
        <v>4555.135904007456</v>
      </c>
      <c r="F260" s="18">
        <f>9.81*($C13-($C10*F258*0.65)/2.146)</f>
        <v>3767.730265610438</v>
      </c>
      <c r="G260" s="12"/>
      <c r="H260" s="12"/>
    </row>
    <row r="261" spans="2:8" ht="12.75">
      <c r="B261" s="11" t="s">
        <v>231</v>
      </c>
      <c r="C261" s="18">
        <f>$C259*C258*$E111</f>
        <v>240.43494370040773</v>
      </c>
      <c r="D261" s="18">
        <f>$C259*D258*$E111</f>
        <v>721.3048311012232</v>
      </c>
      <c r="E261" s="18">
        <f>$C259*E258*$E111</f>
        <v>1202.1747185020386</v>
      </c>
      <c r="F261" s="18">
        <f>$C259*F258*$E111</f>
        <v>1683.0446059028538</v>
      </c>
      <c r="G261" s="12"/>
      <c r="H261" s="12"/>
    </row>
    <row r="262" spans="2:8" ht="12.75">
      <c r="B262" s="11" t="s">
        <v>232</v>
      </c>
      <c r="C262" s="18">
        <f>$C260*C258*$E111</f>
        <v>211.56593202459226</v>
      </c>
      <c r="D262" s="18">
        <f>$C260*D258*$E111</f>
        <v>634.6977960737768</v>
      </c>
      <c r="E262" s="18">
        <f>$C260*E258*$E111</f>
        <v>1057.8296601229613</v>
      </c>
      <c r="F262" s="18">
        <f>$C260*F258*$E111</f>
        <v>1480.9615241721458</v>
      </c>
      <c r="G262" s="12"/>
      <c r="H262" s="12"/>
    </row>
    <row r="264" spans="2:3" ht="12.75">
      <c r="B264" t="s">
        <v>234</v>
      </c>
      <c r="C264" t="s">
        <v>241</v>
      </c>
    </row>
    <row r="265" spans="2:3" ht="12.75">
      <c r="B265" t="s">
        <v>235</v>
      </c>
      <c r="C265">
        <f>9.81*0.75</f>
        <v>7.3575</v>
      </c>
    </row>
    <row r="266" ht="12.75">
      <c r="B266" t="s">
        <v>236</v>
      </c>
    </row>
    <row r="267" ht="12.75">
      <c r="B267" t="s">
        <v>237</v>
      </c>
    </row>
    <row r="270" spans="2:3" ht="12.75">
      <c r="B270" t="s">
        <v>240</v>
      </c>
      <c r="C270">
        <f>(C272-C273)/(2*0.6)</f>
        <v>-0.006748427672955878</v>
      </c>
    </row>
    <row r="272" spans="2:3" ht="12.75">
      <c r="B272" t="s">
        <v>238</v>
      </c>
      <c r="C272">
        <f>2.146*665/1325</f>
        <v>1.0770490566037736</v>
      </c>
    </row>
    <row r="273" ht="12.75">
      <c r="C273">
        <f>2.146*670/1325</f>
        <v>1.0851471698113206</v>
      </c>
    </row>
    <row r="274" spans="2:3" ht="12.75">
      <c r="B274" t="s">
        <v>239</v>
      </c>
      <c r="C274">
        <f>SUM(C272:C273)</f>
        <v>2.1621962264150945</v>
      </c>
    </row>
    <row r="275" ht="12.75">
      <c r="B275" t="s">
        <v>136</v>
      </c>
    </row>
    <row r="276" ht="12.75">
      <c r="B276" t="s">
        <v>242</v>
      </c>
    </row>
    <row r="277" spans="2:4" ht="12.75">
      <c r="B277" t="s">
        <v>243</v>
      </c>
      <c r="D277">
        <f>E291*(1-E119)</f>
        <v>0.9623952259475217</v>
      </c>
    </row>
    <row r="278" ht="12.75">
      <c r="B278" t="s">
        <v>244</v>
      </c>
    </row>
    <row r="279" ht="12.75">
      <c r="B279" t="s">
        <v>245</v>
      </c>
    </row>
    <row r="280" ht="12.75">
      <c r="B280" t="s">
        <v>246</v>
      </c>
    </row>
    <row r="281" ht="12.75">
      <c r="B281" t="s">
        <v>247</v>
      </c>
    </row>
    <row r="282" ht="12.75">
      <c r="B282" t="s">
        <v>248</v>
      </c>
    </row>
    <row r="283" ht="12.75">
      <c r="B283" t="s">
        <v>250</v>
      </c>
    </row>
    <row r="284" spans="2:9" ht="12.75">
      <c r="B284" t="s">
        <v>249</v>
      </c>
      <c r="C284">
        <f>(E299/E291)*(E299/E291)</f>
        <v>0.003335685771230626</v>
      </c>
      <c r="D284">
        <f aca="true" t="shared" si="57" ref="D284:I284">D285*D285</f>
        <v>0.003151101797278815</v>
      </c>
      <c r="E284">
        <f t="shared" si="57"/>
        <v>0.00348168756519344</v>
      </c>
      <c r="F284">
        <f t="shared" si="57"/>
        <v>0.004437017972424192</v>
      </c>
      <c r="G284">
        <f t="shared" si="57"/>
        <v>0.0065378069070758165</v>
      </c>
      <c r="H284">
        <f t="shared" si="57"/>
        <v>0.008933714523358447</v>
      </c>
      <c r="I284">
        <f t="shared" si="57"/>
        <v>0.019961397666060678</v>
      </c>
    </row>
    <row r="285" spans="2:9" ht="12.75">
      <c r="B285" t="s">
        <v>251</v>
      </c>
      <c r="C285">
        <f aca="true" t="shared" si="58" ref="C285:I285">E299/E291</f>
        <v>0.057755396035614075</v>
      </c>
      <c r="D285">
        <f t="shared" si="58"/>
        <v>0.05613467553374487</v>
      </c>
      <c r="E285">
        <f t="shared" si="58"/>
        <v>0.05900582653597389</v>
      </c>
      <c r="F285">
        <f t="shared" si="58"/>
        <v>0.06661094483959969</v>
      </c>
      <c r="G285">
        <f t="shared" si="58"/>
        <v>0.08085670601178245</v>
      </c>
      <c r="H285">
        <f t="shared" si="58"/>
        <v>0.0945183290338887</v>
      </c>
      <c r="I285">
        <f t="shared" si="58"/>
        <v>0.14128481045767333</v>
      </c>
    </row>
    <row r="286" ht="12.75">
      <c r="B286" t="s">
        <v>252</v>
      </c>
    </row>
    <row r="289" spans="2:11" ht="12.75">
      <c r="B289" s="11"/>
      <c r="C289" s="11" t="s">
        <v>253</v>
      </c>
      <c r="D289" s="11" t="s">
        <v>254</v>
      </c>
      <c r="E289" s="11" t="s">
        <v>255</v>
      </c>
      <c r="F289" s="11"/>
      <c r="G289" s="11"/>
      <c r="H289" s="11"/>
      <c r="I289" s="11"/>
      <c r="J289" s="11"/>
      <c r="K289" s="11"/>
    </row>
    <row r="290" spans="2:11" ht="12.75">
      <c r="B290" s="11" t="s">
        <v>256</v>
      </c>
      <c r="C290" s="11" t="s">
        <v>257</v>
      </c>
      <c r="D290" s="11" t="s">
        <v>82</v>
      </c>
      <c r="E290" s="11">
        <v>1000</v>
      </c>
      <c r="F290" s="11">
        <v>2000</v>
      </c>
      <c r="G290" s="11">
        <v>3000</v>
      </c>
      <c r="H290" s="11">
        <v>4000</v>
      </c>
      <c r="I290" s="11">
        <v>5000</v>
      </c>
      <c r="J290" s="11">
        <v>5600</v>
      </c>
      <c r="K290" s="11">
        <f>5600*1.2</f>
        <v>6720</v>
      </c>
    </row>
    <row r="291" spans="2:11" ht="12.75">
      <c r="B291" s="11" t="s">
        <v>258</v>
      </c>
      <c r="C291" s="11" t="s">
        <v>259</v>
      </c>
      <c r="D291" s="11" t="s">
        <v>260</v>
      </c>
      <c r="E291" s="11">
        <f>$E71*($E76*C97+$E77*C98-$E78*C99)</f>
        <v>9.62395225947522</v>
      </c>
      <c r="F291" s="11">
        <f aca="true" t="shared" si="59" ref="F291:K291">$E71*($E76*D97+$E77*D98-$E78*D99)</f>
        <v>20.63957725947522</v>
      </c>
      <c r="G291" s="11">
        <f t="shared" si="59"/>
        <v>31.441098760932938</v>
      </c>
      <c r="H291" s="11">
        <f t="shared" si="59"/>
        <v>40.42274052478134</v>
      </c>
      <c r="I291" s="11">
        <f t="shared" si="59"/>
        <v>45.97872631195335</v>
      </c>
      <c r="J291" s="11">
        <f t="shared" si="59"/>
        <v>47</v>
      </c>
      <c r="K291" s="11">
        <f t="shared" si="59"/>
        <v>42.86399999999998</v>
      </c>
    </row>
    <row r="292" spans="2:11" ht="12.75">
      <c r="B292" s="11"/>
      <c r="C292" s="11" t="s">
        <v>261</v>
      </c>
      <c r="D292" s="11" t="s">
        <v>262</v>
      </c>
      <c r="E292" s="16">
        <f>$E74*(1.2-$E81*C97+$E82*C98)/$E92</f>
        <v>329.12216154067255</v>
      </c>
      <c r="F292" s="16">
        <f aca="true" t="shared" si="60" ref="F292:K292">$E74*(1.2-$E81*D97+$E82*D98)/$E92</f>
        <v>297.04397815464216</v>
      </c>
      <c r="G292" s="16">
        <f t="shared" si="60"/>
        <v>281.0048864616269</v>
      </c>
      <c r="H292" s="16">
        <f t="shared" si="60"/>
        <v>281.0048864616269</v>
      </c>
      <c r="I292" s="16">
        <f t="shared" si="60"/>
        <v>297.04397815464216</v>
      </c>
      <c r="J292" s="16">
        <f t="shared" si="60"/>
        <v>314.3661971830986</v>
      </c>
      <c r="K292" s="16">
        <f t="shared" si="60"/>
        <v>362.1498591549296</v>
      </c>
    </row>
    <row r="293" spans="2:11" ht="12.75">
      <c r="B293" s="11"/>
      <c r="C293" s="11" t="s">
        <v>263</v>
      </c>
      <c r="D293" s="11" t="s">
        <v>260</v>
      </c>
      <c r="E293" s="11">
        <f aca="true" t="shared" si="61" ref="E293:K293">E291*$E119</f>
        <v>8.661557033527698</v>
      </c>
      <c r="F293" s="11">
        <f t="shared" si="61"/>
        <v>18.5756195335277</v>
      </c>
      <c r="G293" s="11">
        <f t="shared" si="61"/>
        <v>28.296988884839646</v>
      </c>
      <c r="H293" s="11">
        <f t="shared" si="61"/>
        <v>36.380466472303205</v>
      </c>
      <c r="I293" s="11">
        <f t="shared" si="61"/>
        <v>41.380853680758015</v>
      </c>
      <c r="J293" s="11">
        <f t="shared" si="61"/>
        <v>42.300000000000004</v>
      </c>
      <c r="K293" s="11">
        <f t="shared" si="61"/>
        <v>38.57759999999998</v>
      </c>
    </row>
    <row r="294" spans="2:11" ht="12.75">
      <c r="B294" s="11" t="s">
        <v>264</v>
      </c>
      <c r="C294" s="11" t="s">
        <v>270</v>
      </c>
      <c r="D294" s="11" t="s">
        <v>278</v>
      </c>
      <c r="E294" s="11">
        <f aca="true" t="shared" si="62" ref="E294:K294">(0.378*D152*$E111)/($E114*$E112)</f>
        <v>9.106693220083429</v>
      </c>
      <c r="F294" s="11">
        <f t="shared" si="62"/>
        <v>18.213386440166857</v>
      </c>
      <c r="G294" s="11">
        <f t="shared" si="62"/>
        <v>27.32007966025029</v>
      </c>
      <c r="H294" s="11">
        <f t="shared" si="62"/>
        <v>36.426772880333715</v>
      </c>
      <c r="I294" s="11">
        <f t="shared" si="62"/>
        <v>45.533466100417144</v>
      </c>
      <c r="J294" s="11">
        <f t="shared" si="62"/>
        <v>50.99748203246721</v>
      </c>
      <c r="K294" s="11">
        <f t="shared" si="62"/>
        <v>61.19697843896064</v>
      </c>
    </row>
    <row r="295" spans="2:11" ht="12.75">
      <c r="B295" s="11" t="s">
        <v>265</v>
      </c>
      <c r="C295" s="11" t="s">
        <v>271</v>
      </c>
      <c r="D295" s="11" t="s">
        <v>279</v>
      </c>
      <c r="E295" s="11">
        <f aca="true" t="shared" si="63" ref="E295:K295">$E121*(0.78*$E125*$E126)*(D211*D211)/13</f>
        <v>1.9533438907820593</v>
      </c>
      <c r="F295" s="11">
        <f t="shared" si="63"/>
        <v>7.813375563128237</v>
      </c>
      <c r="G295" s="11">
        <f t="shared" si="63"/>
        <v>17.580095017038538</v>
      </c>
      <c r="H295" s="11">
        <f t="shared" si="63"/>
        <v>31.25350225251295</v>
      </c>
      <c r="I295" s="11">
        <f t="shared" si="63"/>
        <v>48.83359726955148</v>
      </c>
      <c r="J295" s="11">
        <f t="shared" si="63"/>
        <v>61.2568644149254</v>
      </c>
      <c r="K295" s="11">
        <f t="shared" si="63"/>
        <v>88.20988475749255</v>
      </c>
    </row>
    <row r="296" spans="2:11" ht="12.75">
      <c r="B296" s="11" t="s">
        <v>266</v>
      </c>
      <c r="C296" s="11" t="s">
        <v>272</v>
      </c>
      <c r="D296" s="11" t="s">
        <v>279</v>
      </c>
      <c r="E296" s="11">
        <f aca="true" t="shared" si="64" ref="E296:K296">9.81*$E123*($E120*(1+(D211*D211)/19500))</f>
        <v>195.80295697500293</v>
      </c>
      <c r="F296" s="11">
        <f t="shared" si="64"/>
        <v>198.29057790001173</v>
      </c>
      <c r="G296" s="11">
        <f t="shared" si="64"/>
        <v>202.43661277502642</v>
      </c>
      <c r="H296" s="11">
        <f t="shared" si="64"/>
        <v>208.24106160004695</v>
      </c>
      <c r="I296" s="11">
        <f t="shared" si="64"/>
        <v>215.7039243750734</v>
      </c>
      <c r="J296" s="11">
        <f t="shared" si="64"/>
        <v>220.97768073609208</v>
      </c>
      <c r="K296" s="11">
        <f t="shared" si="64"/>
        <v>232.41941025997264</v>
      </c>
    </row>
    <row r="297" spans="2:11" ht="12.75">
      <c r="B297" s="11" t="s">
        <v>267</v>
      </c>
      <c r="C297" s="11" t="s">
        <v>273</v>
      </c>
      <c r="D297" s="11" t="s">
        <v>260</v>
      </c>
      <c r="E297" s="11">
        <f aca="true" t="shared" si="65" ref="E297:K297">E294*E295/3600</f>
        <v>0.004941250990743435</v>
      </c>
      <c r="F297" s="11">
        <f t="shared" si="65"/>
        <v>0.03953000792594748</v>
      </c>
      <c r="G297" s="11">
        <f t="shared" si="65"/>
        <v>0.1334137767500728</v>
      </c>
      <c r="H297" s="11">
        <f t="shared" si="65"/>
        <v>0.3162400634075798</v>
      </c>
      <c r="I297" s="11">
        <f t="shared" si="65"/>
        <v>0.6176563738429294</v>
      </c>
      <c r="J297" s="11">
        <f t="shared" si="65"/>
        <v>0.8677627339903995</v>
      </c>
      <c r="K297" s="11">
        <f t="shared" si="65"/>
        <v>1.4994940043354097</v>
      </c>
    </row>
    <row r="298" spans="2:11" ht="12.75">
      <c r="B298" s="11" t="s">
        <v>268</v>
      </c>
      <c r="C298" s="11" t="s">
        <v>274</v>
      </c>
      <c r="D298" s="11" t="s">
        <v>260</v>
      </c>
      <c r="E298" s="11">
        <f aca="true" t="shared" si="66" ref="E298:K298">E294*E296/3600</f>
        <v>0.49531040576570734</v>
      </c>
      <c r="F298" s="11">
        <f t="shared" si="66"/>
        <v>1.0032063674269232</v>
      </c>
      <c r="G298" s="11">
        <f t="shared" si="66"/>
        <v>1.5362734408791565</v>
      </c>
      <c r="H298" s="11">
        <f t="shared" si="66"/>
        <v>2.107097182017915</v>
      </c>
      <c r="I298" s="11">
        <f t="shared" si="66"/>
        <v>2.7282631467387075</v>
      </c>
      <c r="J298" s="11">
        <f t="shared" si="66"/>
        <v>3.1303625841430924</v>
      </c>
      <c r="K298" s="11">
        <f t="shared" si="66"/>
        <v>3.9509348995765263</v>
      </c>
    </row>
    <row r="299" spans="2:11" ht="12.75">
      <c r="B299" s="11" t="s">
        <v>269</v>
      </c>
      <c r="C299" s="11" t="s">
        <v>275</v>
      </c>
      <c r="D299" s="11" t="s">
        <v>260</v>
      </c>
      <c r="E299" s="11">
        <f aca="true" t="shared" si="67" ref="E299:K299">(E298+E297)/0.9</f>
        <v>0.5558351741738342</v>
      </c>
      <c r="F299" s="11">
        <f t="shared" si="67"/>
        <v>1.1585959726143007</v>
      </c>
      <c r="G299" s="11">
        <f t="shared" si="67"/>
        <v>1.8552080195880325</v>
      </c>
      <c r="H299" s="11">
        <f t="shared" si="67"/>
        <v>2.692596939361661</v>
      </c>
      <c r="I299" s="11">
        <f t="shared" si="67"/>
        <v>3.7176883562018186</v>
      </c>
      <c r="J299" s="11">
        <f t="shared" si="67"/>
        <v>4.442361464592769</v>
      </c>
      <c r="K299" s="11">
        <f t="shared" si="67"/>
        <v>6.056032115457707</v>
      </c>
    </row>
    <row r="300" spans="2:11" ht="12.75">
      <c r="B300" s="11"/>
      <c r="C300" s="11" t="s">
        <v>276</v>
      </c>
      <c r="D300" s="11" t="s">
        <v>77</v>
      </c>
      <c r="E300" s="11">
        <f aca="true" t="shared" si="68" ref="E300:K300">2.054-1.724*C285-0.774*C284+1.443*C284*C285</f>
        <v>1.9521258759572124</v>
      </c>
      <c r="F300" s="11">
        <f t="shared" si="68"/>
        <v>1.955040113197789</v>
      </c>
      <c r="G300" s="11">
        <f t="shared" si="68"/>
        <v>1.9498755785837134</v>
      </c>
      <c r="H300" s="11">
        <f t="shared" si="68"/>
        <v>1.9361549635493074</v>
      </c>
      <c r="I300" s="11">
        <f t="shared" si="68"/>
        <v>1.9103055829309115</v>
      </c>
      <c r="J300" s="11">
        <f t="shared" si="68"/>
        <v>1.8853541745708944</v>
      </c>
      <c r="K300" s="11">
        <f t="shared" si="68"/>
        <v>1.7990444745957335</v>
      </c>
    </row>
    <row r="301" spans="2:11" ht="12.75">
      <c r="B301" s="11"/>
      <c r="C301" s="11" t="s">
        <v>277</v>
      </c>
      <c r="D301" s="11" t="s">
        <v>280</v>
      </c>
      <c r="E301" s="11">
        <f aca="true" t="shared" si="69" ref="E301:K301">(E292*E300*E299)/(10*E294*0.725)</f>
        <v>5.408941169054525</v>
      </c>
      <c r="F301" s="11">
        <f t="shared" si="69"/>
        <v>5.095416989640045</v>
      </c>
      <c r="G301" s="11">
        <f t="shared" si="69"/>
        <v>5.13207999301985</v>
      </c>
      <c r="H301" s="11">
        <f t="shared" si="69"/>
        <v>5.547108098205386</v>
      </c>
      <c r="I301" s="11">
        <f t="shared" si="69"/>
        <v>6.39039732162424</v>
      </c>
      <c r="J301" s="11">
        <f t="shared" si="69"/>
        <v>7.121245228068099</v>
      </c>
      <c r="K301" s="11">
        <f t="shared" si="69"/>
        <v>8.893043235775636</v>
      </c>
    </row>
    <row r="302" spans="2:11" ht="12.75">
      <c r="B302" s="11" t="s">
        <v>281</v>
      </c>
      <c r="C302" s="11" t="s">
        <v>270</v>
      </c>
      <c r="D302" s="11" t="s">
        <v>278</v>
      </c>
      <c r="E302" s="11">
        <f aca="true" t="shared" si="70" ref="E302:K302">(0.378*D152*$E111)/($E115*$E112)</f>
        <v>16.893845177664975</v>
      </c>
      <c r="F302" s="11">
        <f t="shared" si="70"/>
        <v>33.78769035532995</v>
      </c>
      <c r="G302" s="11">
        <f t="shared" si="70"/>
        <v>50.68153553299492</v>
      </c>
      <c r="H302" s="11">
        <f t="shared" si="70"/>
        <v>67.5753807106599</v>
      </c>
      <c r="I302" s="11">
        <f t="shared" si="70"/>
        <v>84.46922588832487</v>
      </c>
      <c r="J302" s="11">
        <f t="shared" si="70"/>
        <v>94.60553299492386</v>
      </c>
      <c r="K302" s="11">
        <f t="shared" si="70"/>
        <v>113.52663959390863</v>
      </c>
    </row>
    <row r="303" spans="2:11" ht="12.75">
      <c r="B303" s="11" t="s">
        <v>267</v>
      </c>
      <c r="C303" s="11" t="s">
        <v>271</v>
      </c>
      <c r="D303" s="11" t="s">
        <v>279</v>
      </c>
      <c r="E303" s="11">
        <f aca="true" t="shared" si="71" ref="E303:K303">$E121*(0.78*$E125*$E126)*(D215*D215)/13</f>
        <v>6.722244662304419</v>
      </c>
      <c r="F303" s="11">
        <f t="shared" si="71"/>
        <v>26.888978649217677</v>
      </c>
      <c r="G303" s="11">
        <f t="shared" si="71"/>
        <v>60.50020196073977</v>
      </c>
      <c r="H303" s="11">
        <f t="shared" si="71"/>
        <v>107.5559145968707</v>
      </c>
      <c r="I303" s="11">
        <f t="shared" si="71"/>
        <v>168.05611655761047</v>
      </c>
      <c r="J303" s="11">
        <f t="shared" si="71"/>
        <v>210.8095926098666</v>
      </c>
      <c r="K303" s="11">
        <f t="shared" si="71"/>
        <v>303.56581335820783</v>
      </c>
    </row>
    <row r="304" spans="2:11" ht="12.75">
      <c r="B304" s="11" t="s">
        <v>282</v>
      </c>
      <c r="C304" s="11" t="s">
        <v>272</v>
      </c>
      <c r="D304" s="11" t="s">
        <v>279</v>
      </c>
      <c r="E304" s="11">
        <f aca="true" t="shared" si="72" ref="E304:K304">9.81*$E123*($E120*(1+(D215*D215)/19500))</f>
        <v>197.82738585386255</v>
      </c>
      <c r="F304" s="11">
        <f t="shared" si="72"/>
        <v>206.38829341545025</v>
      </c>
      <c r="G304" s="11">
        <f t="shared" si="72"/>
        <v>220.65647268476303</v>
      </c>
      <c r="H304" s="11">
        <f t="shared" si="72"/>
        <v>240.63192366180098</v>
      </c>
      <c r="I304" s="11">
        <f t="shared" si="72"/>
        <v>266.314646346564</v>
      </c>
      <c r="J304" s="11">
        <f t="shared" si="72"/>
        <v>284.46377037712995</v>
      </c>
      <c r="K304" s="11">
        <f t="shared" si="72"/>
        <v>323.8393793430671</v>
      </c>
    </row>
    <row r="305" spans="2:11" ht="12.75">
      <c r="B305" s="11" t="s">
        <v>283</v>
      </c>
      <c r="C305" s="11" t="s">
        <v>273</v>
      </c>
      <c r="D305" s="11" t="s">
        <v>260</v>
      </c>
      <c r="E305" s="11">
        <f aca="true" t="shared" si="73" ref="E305:K305">E302*E303/3600</f>
        <v>0.03154571126982101</v>
      </c>
      <c r="F305" s="11">
        <f t="shared" si="73"/>
        <v>0.2523656901585681</v>
      </c>
      <c r="G305" s="11">
        <f t="shared" si="73"/>
        <v>0.8517342042851672</v>
      </c>
      <c r="H305" s="11">
        <f t="shared" si="73"/>
        <v>2.0189255212685446</v>
      </c>
      <c r="I305" s="11">
        <f t="shared" si="73"/>
        <v>3.9432139087276257</v>
      </c>
      <c r="J305" s="11">
        <f t="shared" si="73"/>
        <v>5.539931630360886</v>
      </c>
      <c r="K305" s="11">
        <f t="shared" si="73"/>
        <v>9.573001857263609</v>
      </c>
    </row>
    <row r="306" spans="2:18" ht="12.75">
      <c r="B306" s="11" t="s">
        <v>266</v>
      </c>
      <c r="C306" s="11" t="s">
        <v>274</v>
      </c>
      <c r="D306" s="11" t="s">
        <v>260</v>
      </c>
      <c r="E306" s="11">
        <f aca="true" t="shared" si="74" ref="E306:K306">E302*E304/3600</f>
        <v>0.928351452365929</v>
      </c>
      <c r="F306" s="11">
        <f t="shared" si="74"/>
        <v>1.9370510419128377</v>
      </c>
      <c r="G306" s="11">
        <f t="shared" si="74"/>
        <v>3.1064469058217057</v>
      </c>
      <c r="H306" s="11">
        <f t="shared" si="74"/>
        <v>4.516887181273514</v>
      </c>
      <c r="I306" s="11">
        <f t="shared" si="74"/>
        <v>6.2487200054492416</v>
      </c>
      <c r="J306" s="11">
        <f t="shared" si="74"/>
        <v>7.475512948409447</v>
      </c>
      <c r="K306" s="11">
        <f t="shared" si="74"/>
        <v>10.212332362498731</v>
      </c>
      <c r="L306">
        <f aca="true" t="shared" si="75" ref="L306:R306">L307*L307</f>
        <v>0.012281671525599506</v>
      </c>
      <c r="M306">
        <f t="shared" si="75"/>
        <v>0.01389217517608758</v>
      </c>
      <c r="N306">
        <f t="shared" si="75"/>
        <v>0.01956639764124399</v>
      </c>
      <c r="O306">
        <f t="shared" si="75"/>
        <v>0.032274733846206584</v>
      </c>
      <c r="P306">
        <f t="shared" si="75"/>
        <v>0.060661662192028704</v>
      </c>
      <c r="Q306">
        <f t="shared" si="75"/>
        <v>0.0946754285683383</v>
      </c>
      <c r="R306">
        <f t="shared" si="75"/>
        <v>0.2630367139621989</v>
      </c>
    </row>
    <row r="307" spans="2:18" ht="12.75">
      <c r="B307" s="11" t="s">
        <v>268</v>
      </c>
      <c r="C307" s="11" t="s">
        <v>275</v>
      </c>
      <c r="D307" s="11" t="s">
        <v>260</v>
      </c>
      <c r="E307" s="11">
        <f aca="true" t="shared" si="76" ref="E307:K307">(E305+E306)/0.9</f>
        <v>1.066552404039722</v>
      </c>
      <c r="F307" s="11">
        <f t="shared" si="76"/>
        <v>2.4326852578571176</v>
      </c>
      <c r="G307" s="11">
        <f t="shared" si="76"/>
        <v>4.397979011229858</v>
      </c>
      <c r="H307" s="11">
        <f t="shared" si="76"/>
        <v>7.26201411393562</v>
      </c>
      <c r="I307" s="11">
        <f t="shared" si="76"/>
        <v>11.324371015752076</v>
      </c>
      <c r="J307" s="11">
        <f t="shared" si="76"/>
        <v>14.461605087522592</v>
      </c>
      <c r="K307" s="11">
        <f t="shared" si="76"/>
        <v>21.983704688624822</v>
      </c>
      <c r="L307">
        <f aca="true" t="shared" si="77" ref="L307:R307">E307/E291</f>
        <v>0.11082270311447698</v>
      </c>
      <c r="M307">
        <f t="shared" si="77"/>
        <v>0.11786507190888902</v>
      </c>
      <c r="N307">
        <f t="shared" si="77"/>
        <v>0.13987994009594082</v>
      </c>
      <c r="O307">
        <f t="shared" si="77"/>
        <v>0.1796517014843071</v>
      </c>
      <c r="P307">
        <f t="shared" si="77"/>
        <v>0.24629588342485284</v>
      </c>
      <c r="Q307">
        <f t="shared" si="77"/>
        <v>0.3076937252664381</v>
      </c>
      <c r="R307">
        <f t="shared" si="77"/>
        <v>0.5128710500332407</v>
      </c>
    </row>
    <row r="308" spans="2:11" ht="12.75">
      <c r="B308" s="11" t="s">
        <v>269</v>
      </c>
      <c r="C308" s="11" t="s">
        <v>276</v>
      </c>
      <c r="D308" s="11" t="s">
        <v>77</v>
      </c>
      <c r="E308" s="11">
        <f aca="true" t="shared" si="78" ref="E308:K308">2.054-1.724*L307-0.774*L306+1.443*L307*L306</f>
        <v>1.8553996961075518</v>
      </c>
      <c r="F308" s="11">
        <f t="shared" si="78"/>
        <v>1.8424108438550462</v>
      </c>
      <c r="G308" s="11">
        <f t="shared" si="78"/>
        <v>1.8016520053429939</v>
      </c>
      <c r="H308" s="11">
        <f t="shared" si="78"/>
        <v>1.7276666409012527</v>
      </c>
      <c r="I308" s="11">
        <f t="shared" si="78"/>
        <v>1.6039932260505942</v>
      </c>
      <c r="J308" s="11">
        <f t="shared" si="78"/>
        <v>1.4922933198773283</v>
      </c>
      <c r="K308" s="11">
        <f t="shared" si="78"/>
        <v>1.1608862434724163</v>
      </c>
    </row>
    <row r="309" spans="2:11" ht="12.75">
      <c r="B309" s="11"/>
      <c r="C309" s="11" t="s">
        <v>284</v>
      </c>
      <c r="D309" s="11" t="s">
        <v>280</v>
      </c>
      <c r="E309" s="11">
        <f aca="true" t="shared" si="79" ref="E309:K309">E308*E292*E307/(10*E302*0.725)</f>
        <v>5.317534182447518</v>
      </c>
      <c r="F309" s="11">
        <f t="shared" si="79"/>
        <v>5.43496366370315</v>
      </c>
      <c r="G309" s="11">
        <f t="shared" si="79"/>
        <v>6.059686589188534</v>
      </c>
      <c r="H309" s="11">
        <f t="shared" si="79"/>
        <v>7.196219480449802</v>
      </c>
      <c r="I309" s="11">
        <f t="shared" si="79"/>
        <v>8.810505998517193</v>
      </c>
      <c r="J309" s="11">
        <f t="shared" si="79"/>
        <v>9.891268496706664</v>
      </c>
      <c r="K309" s="11">
        <f t="shared" si="79"/>
        <v>11.229051599133557</v>
      </c>
    </row>
    <row r="310" spans="2:11" ht="12.75">
      <c r="B310" s="11" t="s">
        <v>285</v>
      </c>
      <c r="C310" s="11" t="s">
        <v>270</v>
      </c>
      <c r="D310" s="11" t="s">
        <v>278</v>
      </c>
      <c r="E310" s="11">
        <f aca="true" t="shared" si="80" ref="E310:K310">(0.378*D152*$E111)/($E116*$E112)</f>
        <v>24.40083754474823</v>
      </c>
      <c r="F310" s="11">
        <f t="shared" si="80"/>
        <v>48.80167508949646</v>
      </c>
      <c r="G310" s="11">
        <f t="shared" si="80"/>
        <v>73.2025126342447</v>
      </c>
      <c r="H310" s="11">
        <f t="shared" si="80"/>
        <v>97.60335017899293</v>
      </c>
      <c r="I310" s="11">
        <f t="shared" si="80"/>
        <v>122.00418772374115</v>
      </c>
      <c r="J310" s="11">
        <f t="shared" si="80"/>
        <v>136.64469025059012</v>
      </c>
      <c r="K310" s="11">
        <f t="shared" si="80"/>
        <v>163.97362830070813</v>
      </c>
    </row>
    <row r="311" spans="2:11" ht="12.75">
      <c r="B311" s="11" t="s">
        <v>286</v>
      </c>
      <c r="C311" s="11" t="s">
        <v>271</v>
      </c>
      <c r="D311" s="11" t="s">
        <v>279</v>
      </c>
      <c r="E311" s="11">
        <f aca="true" t="shared" si="81" ref="E311:K311">$E121*(0.78*$E125*$E126)*(D219*D219)/13</f>
        <v>14.023833999588723</v>
      </c>
      <c r="F311" s="11">
        <f t="shared" si="81"/>
        <v>56.09533599835489</v>
      </c>
      <c r="G311" s="11">
        <f t="shared" si="81"/>
        <v>126.21450599629853</v>
      </c>
      <c r="H311" s="11">
        <f t="shared" si="81"/>
        <v>224.38134399341956</v>
      </c>
      <c r="I311" s="11">
        <f t="shared" si="81"/>
        <v>350.5958499897181</v>
      </c>
      <c r="J311" s="11">
        <f t="shared" si="81"/>
        <v>439.7874342271025</v>
      </c>
      <c r="K311" s="11">
        <f t="shared" si="81"/>
        <v>633.2939052870274</v>
      </c>
    </row>
    <row r="312" spans="2:11" ht="12.75">
      <c r="B312" s="11" t="s">
        <v>287</v>
      </c>
      <c r="C312" s="11" t="s">
        <v>272</v>
      </c>
      <c r="D312" s="11" t="s">
        <v>279</v>
      </c>
      <c r="E312" s="11">
        <f aca="true" t="shared" si="82" ref="E312:K312">9.81*$E123*($E120*(1+(D219*D219)/19500))</f>
        <v>200.9269572276769</v>
      </c>
      <c r="F312" s="11">
        <f t="shared" si="82"/>
        <v>218.78657891070765</v>
      </c>
      <c r="G312" s="11">
        <f t="shared" si="82"/>
        <v>248.55261504909222</v>
      </c>
      <c r="H312" s="11">
        <f t="shared" si="82"/>
        <v>290.22506564283054</v>
      </c>
      <c r="I312" s="11">
        <f t="shared" si="82"/>
        <v>343.8039306919227</v>
      </c>
      <c r="J312" s="11">
        <f t="shared" si="82"/>
        <v>381.66632865994796</v>
      </c>
      <c r="K312" s="11">
        <f t="shared" si="82"/>
        <v>463.81106327032506</v>
      </c>
    </row>
    <row r="313" spans="2:11" ht="12.75">
      <c r="B313" s="11" t="s">
        <v>288</v>
      </c>
      <c r="C313" s="11" t="s">
        <v>273</v>
      </c>
      <c r="D313" s="11" t="s">
        <v>260</v>
      </c>
      <c r="E313" s="11">
        <f aca="true" t="shared" si="83" ref="E313:K313">E310*E311/3600</f>
        <v>0.09505369310513369</v>
      </c>
      <c r="F313" s="11">
        <f t="shared" si="83"/>
        <v>0.7604295448410695</v>
      </c>
      <c r="G313" s="11">
        <f t="shared" si="83"/>
        <v>2.56644971383861</v>
      </c>
      <c r="H313" s="11">
        <f t="shared" si="83"/>
        <v>6.083436358728556</v>
      </c>
      <c r="I313" s="11">
        <f t="shared" si="83"/>
        <v>11.881711638141711</v>
      </c>
      <c r="J313" s="11">
        <f t="shared" si="83"/>
        <v>16.692949368351165</v>
      </c>
      <c r="K313" s="11">
        <f t="shared" si="83"/>
        <v>28.845416508510805</v>
      </c>
    </row>
    <row r="314" spans="2:11" ht="12.75">
      <c r="B314" s="11" t="s">
        <v>289</v>
      </c>
      <c r="C314" s="11" t="s">
        <v>274</v>
      </c>
      <c r="D314" s="11" t="s">
        <v>260</v>
      </c>
      <c r="E314" s="11">
        <f aca="true" t="shared" si="84" ref="E314:K314">E310*E312/3600</f>
        <v>1.3618850115758667</v>
      </c>
      <c r="F314" s="11">
        <f t="shared" si="84"/>
        <v>2.9658754272063423</v>
      </c>
      <c r="G314" s="11">
        <f t="shared" si="84"/>
        <v>5.054076650946037</v>
      </c>
      <c r="H314" s="11">
        <f t="shared" si="84"/>
        <v>7.868594086849555</v>
      </c>
      <c r="I314" s="11">
        <f t="shared" si="84"/>
        <v>11.651533138971507</v>
      </c>
      <c r="J314" s="11">
        <f t="shared" si="84"/>
        <v>14.486854794116253</v>
      </c>
      <c r="K314" s="11">
        <f t="shared" si="84"/>
        <v>21.125773025123472</v>
      </c>
    </row>
    <row r="315" spans="2:18" ht="12.75">
      <c r="B315" s="11" t="s">
        <v>290</v>
      </c>
      <c r="C315" s="11" t="s">
        <v>275</v>
      </c>
      <c r="D315" s="11" t="s">
        <v>260</v>
      </c>
      <c r="E315" s="11">
        <f aca="true" t="shared" si="85" ref="E315:K315">(E314+E313)/0.9</f>
        <v>1.6188207829788894</v>
      </c>
      <c r="F315" s="11">
        <f t="shared" si="85"/>
        <v>4.140338857830457</v>
      </c>
      <c r="G315" s="11">
        <f t="shared" si="85"/>
        <v>8.467251516427385</v>
      </c>
      <c r="H315" s="11">
        <f t="shared" si="85"/>
        <v>15.502256050642345</v>
      </c>
      <c r="I315" s="11">
        <f t="shared" si="85"/>
        <v>26.14804975234802</v>
      </c>
      <c r="J315" s="11">
        <f t="shared" si="85"/>
        <v>34.64422684718602</v>
      </c>
      <c r="K315" s="11">
        <f t="shared" si="85"/>
        <v>55.5235439262603</v>
      </c>
      <c r="L315">
        <f aca="true" t="shared" si="86" ref="L315:R315">L316*L316</f>
        <v>0.02829375722884564</v>
      </c>
      <c r="M315">
        <f t="shared" si="86"/>
        <v>0.04024113092177779</v>
      </c>
      <c r="N315">
        <f t="shared" si="86"/>
        <v>0.0725252929122773</v>
      </c>
      <c r="O315">
        <f t="shared" si="86"/>
        <v>0.1470748126912239</v>
      </c>
      <c r="P315">
        <f t="shared" si="86"/>
        <v>0.3234184060924387</v>
      </c>
      <c r="Q315">
        <f t="shared" si="86"/>
        <v>0.5433329351920709</v>
      </c>
      <c r="R315">
        <f t="shared" si="86"/>
        <v>1.6779111652107916</v>
      </c>
    </row>
    <row r="316" spans="2:18" ht="12.75">
      <c r="B316" s="11"/>
      <c r="C316" s="11" t="s">
        <v>276</v>
      </c>
      <c r="D316" s="11" t="s">
        <v>77</v>
      </c>
      <c r="E316" s="11">
        <f>2.054-1.724*L316-0.774*L315+1.443*L316*L315</f>
        <v>1.7489784886508704</v>
      </c>
      <c r="F316" s="11">
        <f aca="true" t="shared" si="87" ref="F316:K316">2.054-1.724*M316-0.774*M315+1.443*M316*M315</f>
        <v>1.6886641946822767</v>
      </c>
      <c r="G316" s="11">
        <f t="shared" si="87"/>
        <v>1.5617671177500252</v>
      </c>
      <c r="H316" s="11">
        <f t="shared" si="87"/>
        <v>1.3603948480202683</v>
      </c>
      <c r="I316" s="11">
        <f t="shared" si="87"/>
        <v>1.0886449455529184</v>
      </c>
      <c r="J316" s="11">
        <f t="shared" si="87"/>
        <v>0.9405974610703608</v>
      </c>
      <c r="K316" s="11">
        <f t="shared" si="87"/>
        <v>1.6584427073090153</v>
      </c>
      <c r="L316">
        <f aca="true" t="shared" si="88" ref="L316:R316">E315/E291</f>
        <v>0.16820748267792857</v>
      </c>
      <c r="M316">
        <f t="shared" si="88"/>
        <v>0.20060192153062192</v>
      </c>
      <c r="N316">
        <f t="shared" si="88"/>
        <v>0.2693052040200436</v>
      </c>
      <c r="O316">
        <f t="shared" si="88"/>
        <v>0.3835033411734817</v>
      </c>
      <c r="P316">
        <f t="shared" si="88"/>
        <v>0.5686988711896998</v>
      </c>
      <c r="Q316">
        <f t="shared" si="88"/>
        <v>0.7371112095145962</v>
      </c>
      <c r="R316">
        <f t="shared" si="88"/>
        <v>1.2953421035428407</v>
      </c>
    </row>
    <row r="317" spans="2:11" ht="12.75">
      <c r="B317" s="11"/>
      <c r="C317" s="11" t="s">
        <v>284</v>
      </c>
      <c r="D317" s="11" t="s">
        <v>280</v>
      </c>
      <c r="E317" s="11">
        <f aca="true" t="shared" si="89" ref="E317:K317">E316*E315*E292/(10*E310*0.725)</f>
        <v>5.267416088458039</v>
      </c>
      <c r="F317" s="11">
        <f t="shared" si="89"/>
        <v>5.869852636100978</v>
      </c>
      <c r="G317" s="11">
        <f t="shared" si="89"/>
        <v>7.001782444312989</v>
      </c>
      <c r="H317" s="11">
        <f t="shared" si="89"/>
        <v>8.374734062284357</v>
      </c>
      <c r="I317" s="11">
        <f t="shared" si="89"/>
        <v>9.559464644229045</v>
      </c>
      <c r="J317" s="11">
        <f t="shared" si="89"/>
        <v>10.340457411475203</v>
      </c>
      <c r="K317" s="11">
        <f t="shared" si="89"/>
        <v>28.051362383796036</v>
      </c>
    </row>
    <row r="318" spans="2:11" ht="12.75">
      <c r="B318" s="11" t="s">
        <v>291</v>
      </c>
      <c r="C318" s="11" t="s">
        <v>270</v>
      </c>
      <c r="D318" s="11" t="s">
        <v>278</v>
      </c>
      <c r="E318" s="11">
        <f aca="true" t="shared" si="90" ref="E318:K318">(0.378*D152*$E111)/($E117*$E112)</f>
        <v>35.188030338175714</v>
      </c>
      <c r="F318" s="11">
        <f t="shared" si="90"/>
        <v>70.37606067635143</v>
      </c>
      <c r="G318" s="11">
        <f t="shared" si="90"/>
        <v>105.56409101452715</v>
      </c>
      <c r="H318" s="11">
        <f t="shared" si="90"/>
        <v>140.75212135270286</v>
      </c>
      <c r="I318" s="11">
        <f t="shared" si="90"/>
        <v>175.94015169087857</v>
      </c>
      <c r="J318" s="11">
        <f t="shared" si="90"/>
        <v>197.05296989378402</v>
      </c>
      <c r="K318" s="11">
        <f t="shared" si="90"/>
        <v>236.46356387254082</v>
      </c>
    </row>
    <row r="319" spans="2:11" ht="12.75">
      <c r="B319" s="11" t="s">
        <v>287</v>
      </c>
      <c r="C319" s="11" t="s">
        <v>271</v>
      </c>
      <c r="D319" s="11" t="s">
        <v>279</v>
      </c>
      <c r="E319" s="11">
        <f aca="true" t="shared" si="91" ref="E319:K319">$E121*(0.78*$E125*$E126)*(E318*E318)/13</f>
        <v>29.164008143267502</v>
      </c>
      <c r="F319" s="11">
        <f t="shared" si="91"/>
        <v>116.65603257307001</v>
      </c>
      <c r="G319" s="11">
        <f t="shared" si="91"/>
        <v>262.47607328940757</v>
      </c>
      <c r="H319" s="11">
        <f t="shared" si="91"/>
        <v>466.62413029228003</v>
      </c>
      <c r="I319" s="11">
        <f t="shared" si="91"/>
        <v>729.1002035816874</v>
      </c>
      <c r="J319" s="11">
        <f t="shared" si="91"/>
        <v>914.5832953728691</v>
      </c>
      <c r="K319" s="11">
        <f t="shared" si="91"/>
        <v>1316.9999453369312</v>
      </c>
    </row>
    <row r="320" spans="2:11" ht="12.75">
      <c r="B320" s="11" t="s">
        <v>288</v>
      </c>
      <c r="C320" s="11" t="s">
        <v>272</v>
      </c>
      <c r="D320" s="11" t="s">
        <v>279</v>
      </c>
      <c r="E320" s="11">
        <f aca="true" t="shared" si="92" ref="E320:K320">9.81*$E123*($E120*(1+(E318*E318)/19500))</f>
        <v>207.35405798650496</v>
      </c>
      <c r="F320" s="11">
        <f t="shared" si="92"/>
        <v>244.49498194601992</v>
      </c>
      <c r="G320" s="11">
        <f t="shared" si="92"/>
        <v>306.39652187854483</v>
      </c>
      <c r="H320" s="11">
        <f t="shared" si="92"/>
        <v>393.05867778407963</v>
      </c>
      <c r="I320" s="11">
        <f t="shared" si="92"/>
        <v>504.48144966262447</v>
      </c>
      <c r="J320" s="11">
        <f t="shared" si="92"/>
        <v>583.2202084567964</v>
      </c>
      <c r="K320" s="11">
        <f t="shared" si="92"/>
        <v>754.0486501777866</v>
      </c>
    </row>
    <row r="321" spans="2:11" ht="12.75">
      <c r="B321" s="11" t="s">
        <v>292</v>
      </c>
      <c r="C321" s="11" t="s">
        <v>273</v>
      </c>
      <c r="D321" s="11" t="s">
        <v>260</v>
      </c>
      <c r="E321" s="11">
        <f aca="true" t="shared" si="93" ref="E321:K321">E319*E318/3600</f>
        <v>0.2850622231466946</v>
      </c>
      <c r="F321" s="11">
        <f t="shared" si="93"/>
        <v>2.280497785173557</v>
      </c>
      <c r="G321" s="11">
        <f t="shared" si="93"/>
        <v>7.696680024960755</v>
      </c>
      <c r="H321" s="11">
        <f t="shared" si="93"/>
        <v>18.243982281388455</v>
      </c>
      <c r="I321" s="11">
        <f t="shared" si="93"/>
        <v>35.632777893336815</v>
      </c>
      <c r="J321" s="11">
        <f t="shared" si="93"/>
        <v>50.06148738012993</v>
      </c>
      <c r="K321" s="11">
        <f t="shared" si="93"/>
        <v>86.5062501928645</v>
      </c>
    </row>
    <row r="322" spans="2:11" ht="12.75">
      <c r="B322" s="11" t="s">
        <v>287</v>
      </c>
      <c r="C322" s="11" t="s">
        <v>274</v>
      </c>
      <c r="D322" s="11" t="s">
        <v>260</v>
      </c>
      <c r="E322" s="11">
        <f aca="true" t="shared" si="94" ref="E322:K322">E318*E320/3600</f>
        <v>2.0267724675480507</v>
      </c>
      <c r="F322" s="11">
        <f t="shared" si="94"/>
        <v>4.779609356804595</v>
      </c>
      <c r="G322" s="11">
        <f t="shared" si="94"/>
        <v>8.98457508947813</v>
      </c>
      <c r="H322" s="11">
        <f t="shared" si="94"/>
        <v>15.36773408727714</v>
      </c>
      <c r="I322" s="11">
        <f t="shared" si="94"/>
        <v>24.65515077191013</v>
      </c>
      <c r="J322" s="11">
        <f t="shared" si="94"/>
        <v>31.923687271800983</v>
      </c>
      <c r="K322" s="11">
        <f t="shared" si="94"/>
        <v>49.52917532064395</v>
      </c>
    </row>
    <row r="323" spans="2:18" ht="12.75">
      <c r="B323" s="11" t="s">
        <v>286</v>
      </c>
      <c r="C323" s="11" t="s">
        <v>275</v>
      </c>
      <c r="D323" s="11" t="s">
        <v>260</v>
      </c>
      <c r="E323" s="11">
        <f aca="true" t="shared" si="95" ref="E323:K323">(E322+E321)/0.9</f>
        <v>2.5687052118830502</v>
      </c>
      <c r="F323" s="11">
        <f t="shared" si="95"/>
        <v>7.844563491086836</v>
      </c>
      <c r="G323" s="11">
        <f t="shared" si="95"/>
        <v>18.534727904932094</v>
      </c>
      <c r="H323" s="11">
        <f t="shared" si="95"/>
        <v>37.34635152073955</v>
      </c>
      <c r="I323" s="11">
        <f t="shared" si="95"/>
        <v>66.98658740582994</v>
      </c>
      <c r="J323" s="11">
        <f t="shared" si="95"/>
        <v>91.09463850214546</v>
      </c>
      <c r="K323" s="11">
        <f t="shared" si="95"/>
        <v>151.15047279278716</v>
      </c>
      <c r="L323">
        <f aca="true" t="shared" si="96" ref="L323:R323">L324*L324</f>
        <v>0.07123962321794862</v>
      </c>
      <c r="M323">
        <f t="shared" si="96"/>
        <v>0.1444561277600198</v>
      </c>
      <c r="N323">
        <f t="shared" si="96"/>
        <v>0.3475177567292757</v>
      </c>
      <c r="O323">
        <f t="shared" si="96"/>
        <v>0.8535812242612807</v>
      </c>
      <c r="P323">
        <f t="shared" si="96"/>
        <v>2.1225690831480146</v>
      </c>
      <c r="Q323">
        <f t="shared" si="96"/>
        <v>3.7565564345117983</v>
      </c>
      <c r="R323">
        <f t="shared" si="96"/>
        <v>12.434651769203128</v>
      </c>
    </row>
    <row r="324" spans="2:18" ht="12.75">
      <c r="B324" s="11" t="s">
        <v>293</v>
      </c>
      <c r="C324" s="11" t="s">
        <v>276</v>
      </c>
      <c r="D324" s="11" t="s">
        <v>77</v>
      </c>
      <c r="E324" s="11">
        <f aca="true" t="shared" si="97" ref="E324:K324">2.054-1.724*L324-0.774*L323+1.443*L324*L323</f>
        <v>1.5661497366728645</v>
      </c>
      <c r="F324" s="11">
        <f t="shared" si="97"/>
        <v>1.3661701142209246</v>
      </c>
      <c r="G324" s="11">
        <f t="shared" si="97"/>
        <v>1.064330930920623</v>
      </c>
      <c r="H324" s="11">
        <f t="shared" si="97"/>
        <v>0.9385111819197585</v>
      </c>
      <c r="I324" s="11">
        <f t="shared" si="97"/>
        <v>2.361732406168595</v>
      </c>
      <c r="J324" s="11">
        <f t="shared" si="97"/>
        <v>6.311330559492146</v>
      </c>
      <c r="K324" s="11">
        <f t="shared" si="97"/>
        <v>49.62303153335185</v>
      </c>
      <c r="L324">
        <f aca="true" t="shared" si="98" ref="L324:R324">E323/E291</f>
        <v>0.2669075180993383</v>
      </c>
      <c r="M324">
        <f t="shared" si="98"/>
        <v>0.3800738451406776</v>
      </c>
      <c r="N324">
        <f t="shared" si="98"/>
        <v>0.5895063669963843</v>
      </c>
      <c r="O324">
        <f t="shared" si="98"/>
        <v>0.923894595861065</v>
      </c>
      <c r="P324">
        <f t="shared" si="98"/>
        <v>1.4569039375154473</v>
      </c>
      <c r="Q324">
        <f t="shared" si="98"/>
        <v>1.9381837979179886</v>
      </c>
      <c r="R324">
        <f t="shared" si="98"/>
        <v>3.5262801603393807</v>
      </c>
    </row>
    <row r="325" spans="2:11" ht="12.75">
      <c r="B325" s="11" t="s">
        <v>290</v>
      </c>
      <c r="C325" s="11" t="s">
        <v>284</v>
      </c>
      <c r="D325" s="11" t="s">
        <v>280</v>
      </c>
      <c r="E325" s="11">
        <f aca="true" t="shared" si="99" ref="E325:K325">E324*E292*E323/(10*0.725*E318)</f>
        <v>5.190052022455478</v>
      </c>
      <c r="F325" s="11">
        <f t="shared" si="99"/>
        <v>6.2392351725897655</v>
      </c>
      <c r="G325" s="11">
        <f t="shared" si="99"/>
        <v>7.243067814374105</v>
      </c>
      <c r="H325" s="11">
        <f t="shared" si="99"/>
        <v>9.651805208691004</v>
      </c>
      <c r="I325" s="11">
        <f t="shared" si="99"/>
        <v>36.841417030393266</v>
      </c>
      <c r="J325" s="11">
        <f t="shared" si="99"/>
        <v>126.5110890079853</v>
      </c>
      <c r="K325" s="11">
        <f t="shared" si="99"/>
        <v>1584.4512650293498</v>
      </c>
    </row>
    <row r="326" spans="2:11" ht="12.75">
      <c r="B326" s="11"/>
      <c r="C326" s="11" t="s">
        <v>270</v>
      </c>
      <c r="D326" s="11" t="s">
        <v>278</v>
      </c>
      <c r="E326" s="11">
        <f aca="true" t="shared" si="100" ref="E326:K326">(0.378*D152*$E111)/($E118*$E112)</f>
        <v>42.234612944162436</v>
      </c>
      <c r="F326" s="11">
        <f t="shared" si="100"/>
        <v>84.46922588832487</v>
      </c>
      <c r="G326" s="11">
        <f t="shared" si="100"/>
        <v>126.70383883248729</v>
      </c>
      <c r="H326" s="11">
        <f t="shared" si="100"/>
        <v>168.93845177664974</v>
      </c>
      <c r="I326" s="11">
        <f t="shared" si="100"/>
        <v>211.17306472081214</v>
      </c>
      <c r="J326" s="11">
        <f t="shared" si="100"/>
        <v>236.51383248730963</v>
      </c>
      <c r="K326" s="11">
        <f t="shared" si="100"/>
        <v>283.81659898477153</v>
      </c>
    </row>
    <row r="327" spans="2:11" ht="12.75">
      <c r="B327" s="11" t="s">
        <v>294</v>
      </c>
      <c r="C327" s="11" t="s">
        <v>271</v>
      </c>
      <c r="D327" s="11" t="s">
        <v>279</v>
      </c>
      <c r="E327" s="11">
        <f aca="true" t="shared" si="101" ref="E327:K327">$E121*(0.78*$E125*$E126)*(E326*E326)/13</f>
        <v>42.014029139402616</v>
      </c>
      <c r="F327" s="11">
        <f t="shared" si="101"/>
        <v>168.05611655761047</v>
      </c>
      <c r="G327" s="11">
        <f t="shared" si="101"/>
        <v>378.12626225462344</v>
      </c>
      <c r="H327" s="11">
        <f t="shared" si="101"/>
        <v>672.2244662304419</v>
      </c>
      <c r="I327" s="11">
        <f t="shared" si="101"/>
        <v>1050.350728485065</v>
      </c>
      <c r="J327" s="11">
        <f t="shared" si="101"/>
        <v>1317.559953811666</v>
      </c>
      <c r="K327" s="11">
        <f t="shared" si="101"/>
        <v>1897.2863334887986</v>
      </c>
    </row>
    <row r="328" spans="2:11" ht="12.75">
      <c r="B328" s="11" t="s">
        <v>290</v>
      </c>
      <c r="C328" s="11" t="s">
        <v>272</v>
      </c>
      <c r="D328" s="11" t="s">
        <v>279</v>
      </c>
      <c r="E328" s="11">
        <f aca="true" t="shared" si="102" ref="E328:K328">9.81*$E123*($E120*(1+(E326*E326)/19500))</f>
        <v>212.80897408664097</v>
      </c>
      <c r="F328" s="11">
        <f t="shared" si="102"/>
        <v>266.314646346564</v>
      </c>
      <c r="G328" s="11">
        <f t="shared" si="102"/>
        <v>355.4907667797691</v>
      </c>
      <c r="H328" s="11">
        <f t="shared" si="102"/>
        <v>480.3373353862563</v>
      </c>
      <c r="I328" s="11">
        <f t="shared" si="102"/>
        <v>640.8543521660253</v>
      </c>
      <c r="J328" s="11">
        <f t="shared" si="102"/>
        <v>754.2863773570622</v>
      </c>
      <c r="K328" s="11">
        <f t="shared" si="102"/>
        <v>1000.3839333941693</v>
      </c>
    </row>
    <row r="329" spans="2:11" ht="12.75">
      <c r="B329" s="11" t="s">
        <v>288</v>
      </c>
      <c r="C329" s="11" t="s">
        <v>273</v>
      </c>
      <c r="D329" s="11" t="s">
        <v>260</v>
      </c>
      <c r="E329" s="11">
        <f aca="true" t="shared" si="103" ref="E329:K329">E326*E327/3600</f>
        <v>0.4929017385909532</v>
      </c>
      <c r="F329" s="11">
        <f t="shared" si="103"/>
        <v>3.9432139087276257</v>
      </c>
      <c r="G329" s="11">
        <f t="shared" si="103"/>
        <v>13.308346941955731</v>
      </c>
      <c r="H329" s="11">
        <f t="shared" si="103"/>
        <v>31.545711269821005</v>
      </c>
      <c r="I329" s="11">
        <f t="shared" si="103"/>
        <v>61.61271732386911</v>
      </c>
      <c r="J329" s="11">
        <f t="shared" si="103"/>
        <v>86.56143172438883</v>
      </c>
      <c r="K329" s="11">
        <f t="shared" si="103"/>
        <v>149.57815401974386</v>
      </c>
    </row>
    <row r="330" spans="2:11" ht="12.75">
      <c r="B330" s="11" t="s">
        <v>295</v>
      </c>
      <c r="C330" s="11" t="s">
        <v>274</v>
      </c>
      <c r="D330" s="11" t="s">
        <v>260</v>
      </c>
      <c r="E330" s="11">
        <f aca="true" t="shared" si="104" ref="E330:K330">E326*E328/3600</f>
        <v>2.4966401809982153</v>
      </c>
      <c r="F330" s="11">
        <f t="shared" si="104"/>
        <v>6.2487200054492416</v>
      </c>
      <c r="G330" s="11">
        <f t="shared" si="104"/>
        <v>12.511679116805887</v>
      </c>
      <c r="H330" s="11">
        <f t="shared" si="104"/>
        <v>22.54095715852097</v>
      </c>
      <c r="I330" s="11">
        <f t="shared" si="104"/>
        <v>37.591993774047275</v>
      </c>
      <c r="J330" s="11">
        <f t="shared" si="104"/>
        <v>49.55532275046884</v>
      </c>
      <c r="K330" s="11">
        <f t="shared" si="104"/>
        <v>78.86821268192814</v>
      </c>
    </row>
    <row r="331" spans="2:18" ht="12.75">
      <c r="B331" s="11" t="s">
        <v>290</v>
      </c>
      <c r="C331" s="11" t="s">
        <v>275</v>
      </c>
      <c r="D331" s="11" t="s">
        <v>260</v>
      </c>
      <c r="E331" s="11">
        <f aca="true" t="shared" si="105" ref="E331:K331">(E330+E329)/0.9</f>
        <v>3.321713243987965</v>
      </c>
      <c r="F331" s="11">
        <f t="shared" si="105"/>
        <v>11.324371015752076</v>
      </c>
      <c r="G331" s="11">
        <f t="shared" si="105"/>
        <v>28.688917843068467</v>
      </c>
      <c r="H331" s="11">
        <f t="shared" si="105"/>
        <v>60.09629825371331</v>
      </c>
      <c r="I331" s="11">
        <f t="shared" si="105"/>
        <v>110.22745677546266</v>
      </c>
      <c r="J331" s="11">
        <f t="shared" si="105"/>
        <v>151.2408383053974</v>
      </c>
      <c r="K331" s="11">
        <f t="shared" si="105"/>
        <v>253.8292963351911</v>
      </c>
      <c r="L331">
        <f aca="true" t="shared" si="106" ref="L331:R331">L332*L332</f>
        <v>0.11912896158833224</v>
      </c>
      <c r="M331">
        <f t="shared" si="106"/>
        <v>0.3010416484623596</v>
      </c>
      <c r="N331">
        <f t="shared" si="106"/>
        <v>0.8325932853019645</v>
      </c>
      <c r="O331">
        <f t="shared" si="106"/>
        <v>2.21026290786299</v>
      </c>
      <c r="P331">
        <f t="shared" si="106"/>
        <v>5.74732427704545</v>
      </c>
      <c r="Q331">
        <f t="shared" si="106"/>
        <v>10.354817189370468</v>
      </c>
      <c r="R331">
        <f t="shared" si="106"/>
        <v>35.06695847804952</v>
      </c>
    </row>
    <row r="332" spans="2:18" ht="12.75">
      <c r="B332" s="11"/>
      <c r="C332" s="11" t="s">
        <v>276</v>
      </c>
      <c r="D332" s="11" t="s">
        <v>77</v>
      </c>
      <c r="E332" s="11">
        <f aca="true" t="shared" si="107" ref="E332:K332">2.054-1.724*L332-0.774*L331+1.443*L331*L332</f>
        <v>1.4260869485246122</v>
      </c>
      <c r="F332" s="11">
        <f t="shared" si="107"/>
        <v>1.113427248209683</v>
      </c>
      <c r="G332" s="11">
        <f t="shared" si="107"/>
        <v>0.9327476277439894</v>
      </c>
      <c r="H332" s="11">
        <f t="shared" si="107"/>
        <v>2.5218737377198472</v>
      </c>
      <c r="I332" s="11">
        <f t="shared" si="107"/>
        <v>13.354746608855896</v>
      </c>
      <c r="J332" s="11">
        <f t="shared" si="107"/>
        <v>36.57344772636928</v>
      </c>
      <c r="K332" s="11">
        <f t="shared" si="107"/>
        <v>264.3525475573048</v>
      </c>
      <c r="L332">
        <f aca="true" t="shared" si="108" ref="L332:R332">E331/E291</f>
        <v>0.3451506360827577</v>
      </c>
      <c r="M332">
        <f t="shared" si="108"/>
        <v>0.5486726241233105</v>
      </c>
      <c r="N332">
        <f t="shared" si="108"/>
        <v>0.912465498143335</v>
      </c>
      <c r="O332">
        <f t="shared" si="108"/>
        <v>1.486695297585551</v>
      </c>
      <c r="P332">
        <f t="shared" si="108"/>
        <v>2.397357769930356</v>
      </c>
      <c r="Q332">
        <f t="shared" si="108"/>
        <v>3.217890176710583</v>
      </c>
      <c r="R332">
        <f t="shared" si="108"/>
        <v>5.921736103377921</v>
      </c>
    </row>
    <row r="333" spans="2:11" ht="12.75">
      <c r="B333" s="11"/>
      <c r="C333" s="11" t="s">
        <v>284</v>
      </c>
      <c r="D333" s="11" t="s">
        <v>280</v>
      </c>
      <c r="E333" s="11">
        <f aca="true" t="shared" si="109" ref="E333:K333">E332*E331*E292/(10*0.725*E326)</f>
        <v>5.091652371785962</v>
      </c>
      <c r="F333" s="11">
        <f t="shared" si="109"/>
        <v>6.11589705613537</v>
      </c>
      <c r="G333" s="11">
        <f t="shared" si="109"/>
        <v>8.185861874434835</v>
      </c>
      <c r="H333" s="11">
        <f t="shared" si="109"/>
        <v>34.77109890207982</v>
      </c>
      <c r="I333" s="11">
        <f t="shared" si="109"/>
        <v>285.60753607694465</v>
      </c>
      <c r="J333" s="11">
        <f t="shared" si="109"/>
        <v>1014.0894579643423</v>
      </c>
      <c r="K333" s="11">
        <f t="shared" si="109"/>
        <v>11809.670168358469</v>
      </c>
    </row>
    <row r="335" ht="12.75">
      <c r="B335" t="s">
        <v>303</v>
      </c>
    </row>
    <row r="336" ht="12.75">
      <c r="B336" t="s">
        <v>304</v>
      </c>
    </row>
    <row r="337" ht="12.75">
      <c r="B337" t="s">
        <v>307</v>
      </c>
    </row>
    <row r="338" ht="12.75">
      <c r="B338" t="s">
        <v>308</v>
      </c>
    </row>
    <row r="339" ht="12.75">
      <c r="B339" t="s">
        <v>305</v>
      </c>
    </row>
    <row r="340" ht="12.75">
      <c r="B340" t="s">
        <v>306</v>
      </c>
    </row>
    <row r="343" ht="12.75">
      <c r="B343" t="s">
        <v>340</v>
      </c>
    </row>
    <row r="344" spans="2:6" ht="12.75">
      <c r="B344" t="s">
        <v>309</v>
      </c>
      <c r="F344">
        <f>0.5*(2.65+2.58)</f>
        <v>2.615</v>
      </c>
    </row>
    <row r="345" ht="12.75">
      <c r="B345" t="s">
        <v>311</v>
      </c>
    </row>
    <row r="346" ht="12.75">
      <c r="B346" t="s">
        <v>310</v>
      </c>
    </row>
    <row r="348" spans="2:11" ht="12.75">
      <c r="B348" s="11" t="s">
        <v>312</v>
      </c>
      <c r="C348" s="11" t="s">
        <v>313</v>
      </c>
      <c r="D348" s="11" t="s">
        <v>314</v>
      </c>
      <c r="E348" s="11"/>
      <c r="F348" s="11" t="s">
        <v>319</v>
      </c>
      <c r="G348" s="11"/>
      <c r="H348" s="11"/>
      <c r="I348" s="11" t="s">
        <v>175</v>
      </c>
      <c r="J348" s="11" t="s">
        <v>321</v>
      </c>
      <c r="K348" s="11" t="s">
        <v>315</v>
      </c>
    </row>
    <row r="349" spans="2:11" ht="12.75">
      <c r="B349" s="11" t="s">
        <v>339</v>
      </c>
      <c r="C349" s="11" t="s">
        <v>316</v>
      </c>
      <c r="D349" s="11" t="s">
        <v>317</v>
      </c>
      <c r="E349" s="11" t="s">
        <v>318</v>
      </c>
      <c r="F349" s="11"/>
      <c r="G349" s="11"/>
      <c r="H349" s="11"/>
      <c r="I349" s="11"/>
      <c r="J349" s="11" t="s">
        <v>320</v>
      </c>
      <c r="K349" s="11" t="s">
        <v>338</v>
      </c>
    </row>
    <row r="350" spans="2:11" ht="12.75">
      <c r="B350" s="11" t="s">
        <v>322</v>
      </c>
      <c r="C350" s="11" t="s">
        <v>329</v>
      </c>
      <c r="D350" s="11" t="s">
        <v>332</v>
      </c>
      <c r="E350" s="11" t="s">
        <v>334</v>
      </c>
      <c r="F350" s="11"/>
      <c r="G350" s="11"/>
      <c r="H350" s="11"/>
      <c r="I350" s="11"/>
      <c r="J350" s="11"/>
      <c r="K350" s="11"/>
    </row>
    <row r="351" spans="2:11" ht="12.75">
      <c r="B351" s="11" t="s">
        <v>323</v>
      </c>
      <c r="C351" s="11" t="s">
        <v>330</v>
      </c>
      <c r="D351" s="11" t="s">
        <v>333</v>
      </c>
      <c r="E351" s="11" t="s">
        <v>334</v>
      </c>
      <c r="F351" s="11"/>
      <c r="G351" s="11"/>
      <c r="H351" s="11"/>
      <c r="I351" s="11"/>
      <c r="J351" s="11"/>
      <c r="K351" s="11"/>
    </row>
    <row r="352" spans="2:11" ht="12.75">
      <c r="B352" s="11" t="s">
        <v>324</v>
      </c>
      <c r="C352" s="11" t="s">
        <v>330</v>
      </c>
      <c r="D352" s="11" t="s">
        <v>332</v>
      </c>
      <c r="E352" s="11" t="s">
        <v>335</v>
      </c>
      <c r="F352" s="11"/>
      <c r="G352" s="11"/>
      <c r="H352" s="11"/>
      <c r="I352" s="11"/>
      <c r="J352" s="11"/>
      <c r="K352" s="11"/>
    </row>
    <row r="353" spans="2:11" ht="12.75">
      <c r="B353" s="11" t="s">
        <v>325</v>
      </c>
      <c r="C353" s="11" t="s">
        <v>331</v>
      </c>
      <c r="D353" s="11" t="s">
        <v>332</v>
      </c>
      <c r="E353" s="11" t="s">
        <v>334</v>
      </c>
      <c r="F353" s="11"/>
      <c r="G353" s="11"/>
      <c r="H353" s="11"/>
      <c r="I353" s="11"/>
      <c r="J353" s="11"/>
      <c r="K353" s="11"/>
    </row>
    <row r="354" spans="2:11" ht="12.75">
      <c r="B354" s="11" t="s">
        <v>323</v>
      </c>
      <c r="C354" s="11" t="s">
        <v>330</v>
      </c>
      <c r="D354" s="11" t="s">
        <v>333</v>
      </c>
      <c r="E354" s="11" t="s">
        <v>334</v>
      </c>
      <c r="F354" s="11"/>
      <c r="G354" s="11"/>
      <c r="H354" s="11"/>
      <c r="I354" s="11"/>
      <c r="J354" s="11"/>
      <c r="K354" s="11"/>
    </row>
    <row r="355" spans="2:11" ht="12.75">
      <c r="B355" s="11" t="s">
        <v>326</v>
      </c>
      <c r="C355" s="11" t="s">
        <v>330</v>
      </c>
      <c r="D355" s="11" t="s">
        <v>332</v>
      </c>
      <c r="E355" s="11" t="s">
        <v>334</v>
      </c>
      <c r="F355" s="11"/>
      <c r="G355" s="11"/>
      <c r="H355" s="11"/>
      <c r="I355" s="11"/>
      <c r="J355" s="11"/>
      <c r="K355" s="11"/>
    </row>
    <row r="356" spans="2:11" ht="12.75">
      <c r="B356" s="11" t="s">
        <v>322</v>
      </c>
      <c r="C356" s="11" t="s">
        <v>329</v>
      </c>
      <c r="D356" s="11" t="s">
        <v>332</v>
      </c>
      <c r="E356" s="11" t="s">
        <v>335</v>
      </c>
      <c r="F356" s="11"/>
      <c r="G356" s="11"/>
      <c r="H356" s="11"/>
      <c r="I356" s="11"/>
      <c r="J356" s="11"/>
      <c r="K356" s="11"/>
    </row>
    <row r="357" spans="2:11" ht="12.75">
      <c r="B357" s="11" t="s">
        <v>327</v>
      </c>
      <c r="C357" s="11" t="s">
        <v>329</v>
      </c>
      <c r="D357" s="11" t="s">
        <v>332</v>
      </c>
      <c r="E357" s="11" t="s">
        <v>334</v>
      </c>
      <c r="F357" s="11"/>
      <c r="G357" s="11"/>
      <c r="H357" s="11"/>
      <c r="I357" s="11"/>
      <c r="J357" s="11"/>
      <c r="K357" s="11"/>
    </row>
    <row r="358" spans="2:11" ht="12.75">
      <c r="B358" s="11" t="s">
        <v>328</v>
      </c>
      <c r="C358" s="11" t="s">
        <v>331</v>
      </c>
      <c r="D358" s="11" t="s">
        <v>332</v>
      </c>
      <c r="E358" s="11" t="s">
        <v>334</v>
      </c>
      <c r="F358" s="11"/>
      <c r="G358" s="11"/>
      <c r="H358" s="11"/>
      <c r="I358" s="11"/>
      <c r="J358" s="11"/>
      <c r="K358" s="11"/>
    </row>
    <row r="359" spans="2:11" ht="12.75">
      <c r="B359" s="11" t="s">
        <v>324</v>
      </c>
      <c r="C359" s="11" t="s">
        <v>331</v>
      </c>
      <c r="D359" s="11" t="s">
        <v>333</v>
      </c>
      <c r="E359" s="11" t="s">
        <v>334</v>
      </c>
      <c r="F359" s="11"/>
      <c r="G359" s="11"/>
      <c r="H359" s="11"/>
      <c r="I359" s="11"/>
      <c r="J359" s="11"/>
      <c r="K359" s="11"/>
    </row>
    <row r="360" spans="2:11" ht="12.75">
      <c r="B360" s="11" t="s">
        <v>336</v>
      </c>
      <c r="C360" s="11"/>
      <c r="D360" s="11"/>
      <c r="E360" s="11"/>
      <c r="F360" s="11"/>
      <c r="G360" s="11"/>
      <c r="H360" s="11"/>
      <c r="I360" s="11" t="s">
        <v>337</v>
      </c>
      <c r="J360" s="11"/>
      <c r="K360" s="11"/>
    </row>
    <row r="362" spans="2:4" ht="12.75">
      <c r="B362" s="11" t="s">
        <v>341</v>
      </c>
      <c r="C362" s="11" t="s">
        <v>342</v>
      </c>
      <c r="D362" s="11" t="s">
        <v>343</v>
      </c>
    </row>
    <row r="363" spans="2:4" ht="12.75">
      <c r="B363" s="11" t="s">
        <v>344</v>
      </c>
      <c r="C363" s="11"/>
      <c r="D363" s="11"/>
    </row>
    <row r="364" spans="2:4" ht="12.75">
      <c r="B364" s="11" t="s">
        <v>345</v>
      </c>
      <c r="C364" s="11" t="s">
        <v>351</v>
      </c>
      <c r="D364" s="11" t="s">
        <v>357</v>
      </c>
    </row>
    <row r="365" spans="2:4" ht="12.75">
      <c r="B365" s="11" t="s">
        <v>346</v>
      </c>
      <c r="C365" s="11" t="s">
        <v>352</v>
      </c>
      <c r="D365" s="11" t="s">
        <v>358</v>
      </c>
    </row>
    <row r="366" spans="2:4" ht="12.75">
      <c r="B366" s="11" t="s">
        <v>347</v>
      </c>
      <c r="C366" s="11" t="s">
        <v>353</v>
      </c>
      <c r="D366" s="11" t="s">
        <v>359</v>
      </c>
    </row>
    <row r="367" spans="2:4" ht="12.75">
      <c r="B367" s="11" t="s">
        <v>348</v>
      </c>
      <c r="C367" s="11" t="s">
        <v>354</v>
      </c>
      <c r="D367" s="11" t="s">
        <v>360</v>
      </c>
    </row>
    <row r="368" spans="2:4" ht="12.75">
      <c r="B368" s="11" t="s">
        <v>349</v>
      </c>
      <c r="C368" s="11" t="s">
        <v>355</v>
      </c>
      <c r="D368" s="11" t="s">
        <v>361</v>
      </c>
    </row>
    <row r="369" spans="2:4" ht="12.75">
      <c r="B369" s="11" t="s">
        <v>350</v>
      </c>
      <c r="C369" s="11" t="s">
        <v>356</v>
      </c>
      <c r="D369" s="11" t="s">
        <v>362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группа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1998-12-16T14:44:31Z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