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225" windowWidth="10125" windowHeight="6765" tabRatio="823" activeTab="9"/>
  </bookViews>
  <sheets>
    <sheet name="яды" sheetId="1" r:id="rId1"/>
    <sheet name="лес" sheetId="2" r:id="rId2"/>
    <sheet name="станки" sheetId="3" r:id="rId3"/>
    <sheet name="капуста" sheetId="4" r:id="rId4"/>
    <sheet name="опилки" sheetId="5" r:id="rId5"/>
    <sheet name="щебень" sheetId="6" r:id="rId6"/>
    <sheet name="BD-DC" sheetId="7" r:id="rId7"/>
    <sheet name="АТП" sheetId="8" r:id="rId8"/>
    <sheet name="погр-разгр" sheetId="9" r:id="rId9"/>
    <sheet name="пок-ли" sheetId="10" r:id="rId10"/>
    <sheet name="водители" sheetId="11" r:id="rId11"/>
    <sheet name="Диаграмма1" sheetId="12" r:id="rId12"/>
    <sheet name="график1" sheetId="13" r:id="rId13"/>
    <sheet name="Диаграмма2" sheetId="14" r:id="rId14"/>
    <sheet name="график2" sheetId="15" r:id="rId15"/>
    <sheet name="Диаграмма3" sheetId="16" r:id="rId16"/>
    <sheet name="график3" sheetId="17" r:id="rId17"/>
    <sheet name="график выпуска-возврата" sheetId="18" r:id="rId18"/>
    <sheet name="выпуск-возврат" sheetId="19" r:id="rId19"/>
  </sheets>
  <definedNames/>
  <calcPr fullCalcOnLoad="1"/>
</workbook>
</file>

<file path=xl/sharedStrings.xml><?xml version="1.0" encoding="utf-8"?>
<sst xmlns="http://schemas.openxmlformats.org/spreadsheetml/2006/main" count="1027" uniqueCount="237">
  <si>
    <t>пс:</t>
  </si>
  <si>
    <t>q</t>
  </si>
  <si>
    <t>tпр</t>
  </si>
  <si>
    <t>Gф</t>
  </si>
  <si>
    <t>Gmax</t>
  </si>
  <si>
    <t>Wq</t>
  </si>
  <si>
    <t>Ga</t>
  </si>
  <si>
    <t>класс груза</t>
  </si>
  <si>
    <t>обьем</t>
  </si>
  <si>
    <t>расстояние</t>
  </si>
  <si>
    <t>Vт</t>
  </si>
  <si>
    <t>Gпд / Gапд</t>
  </si>
  <si>
    <t>Gп / Gпп</t>
  </si>
  <si>
    <t>бортовой</t>
  </si>
  <si>
    <t>бортовой+прицеп</t>
  </si>
  <si>
    <t>МАЗ-61031</t>
  </si>
  <si>
    <t>седельный без пер</t>
  </si>
  <si>
    <t>седельный с пер</t>
  </si>
  <si>
    <t>МАЗ-54326+ЧМЗАП-9911-040</t>
  </si>
  <si>
    <t>рейтинг</t>
  </si>
  <si>
    <t>КрАЗ-250</t>
  </si>
  <si>
    <t>фургон</t>
  </si>
  <si>
    <t>ЗИЛ-433100 + ГКБ-8551</t>
  </si>
  <si>
    <t>МАЗ-54331 + ОДАЗ-93571</t>
  </si>
  <si>
    <t>самосвал</t>
  </si>
  <si>
    <t>КАМАЗ-55111</t>
  </si>
  <si>
    <t>самосвал+прицеп</t>
  </si>
  <si>
    <t>ЗИЛ-133ГЯ+ГКБ-8328</t>
  </si>
  <si>
    <t>МАЗ-54331 + МАЗ-9380</t>
  </si>
  <si>
    <t>МАЗ-61031+СЗАП-83571</t>
  </si>
  <si>
    <t>МАЗ-63031</t>
  </si>
  <si>
    <t>ОдАЗ-4709</t>
  </si>
  <si>
    <t>МАЗ-54331+ЧМЗАП-99063-051</t>
  </si>
  <si>
    <t>MAN F-2000 36</t>
  </si>
  <si>
    <t>КрАЗ-650321+СЗАП-8543</t>
  </si>
  <si>
    <t>КАМАЗ-54112+НефАЗ-9509</t>
  </si>
  <si>
    <t>Урал-5557+ГКБ-8535-01</t>
  </si>
  <si>
    <t>маршрут AF</t>
  </si>
  <si>
    <t>Dr</t>
  </si>
  <si>
    <t>Tн</t>
  </si>
  <si>
    <t>Q</t>
  </si>
  <si>
    <t>Am</t>
  </si>
  <si>
    <t>маршрут CA</t>
  </si>
  <si>
    <t>маршрут AB</t>
  </si>
  <si>
    <t>средние:</t>
  </si>
  <si>
    <t>коэф грузопод</t>
  </si>
  <si>
    <t>коэф пробега</t>
  </si>
  <si>
    <t>Lег</t>
  </si>
  <si>
    <t>Q dc</t>
  </si>
  <si>
    <t>A</t>
  </si>
  <si>
    <t>Am dc</t>
  </si>
  <si>
    <t>Am 2 суммар</t>
  </si>
  <si>
    <t>Am 1 суммар</t>
  </si>
  <si>
    <t>B</t>
  </si>
  <si>
    <t>C</t>
  </si>
  <si>
    <t>D</t>
  </si>
  <si>
    <t>F</t>
  </si>
  <si>
    <t>A-F</t>
  </si>
  <si>
    <t>C-A</t>
  </si>
  <si>
    <t>A-B</t>
  </si>
  <si>
    <t>C-F</t>
  </si>
  <si>
    <t>B-D-C</t>
  </si>
  <si>
    <t>ядохимикаты</t>
  </si>
  <si>
    <t>30;5;1,25</t>
  </si>
  <si>
    <t>автопогрузчик</t>
  </si>
  <si>
    <t>лес</t>
  </si>
  <si>
    <t>автопогрузчик с грейфером</t>
  </si>
  <si>
    <t>ПР-800</t>
  </si>
  <si>
    <t>станки</t>
  </si>
  <si>
    <t>капуста</t>
  </si>
  <si>
    <t>электропогрузчик</t>
  </si>
  <si>
    <t>опилки</t>
  </si>
  <si>
    <t>щебень</t>
  </si>
  <si>
    <t>-</t>
  </si>
  <si>
    <t>экскаватор (одноковшовый)</t>
  </si>
  <si>
    <t>D-C</t>
  </si>
  <si>
    <t>Перемещение, м</t>
  </si>
  <si>
    <t>Время цикла</t>
  </si>
  <si>
    <t>коэф. Совм. Операц</t>
  </si>
  <si>
    <t>надбавка времени, с.</t>
  </si>
  <si>
    <t>Технологич производит.</t>
  </si>
  <si>
    <t>масса ед груза</t>
  </si>
  <si>
    <t>Эксплуатацион производит</t>
  </si>
  <si>
    <t>кол-во ПРМ</t>
  </si>
  <si>
    <t>объемная масса груза</t>
  </si>
  <si>
    <t>Высота подъема</t>
  </si>
  <si>
    <t>Скорость подьема</t>
  </si>
  <si>
    <t>скорость перемещения</t>
  </si>
  <si>
    <t>автопогрузчик 7806</t>
  </si>
  <si>
    <t>Время цикла на ед</t>
  </si>
  <si>
    <t>коэф использ раб времени</t>
  </si>
  <si>
    <t>5*2,26</t>
  </si>
  <si>
    <t>ПР-900</t>
  </si>
  <si>
    <t>4*3</t>
  </si>
  <si>
    <t>автопогрузчик 4045Р</t>
  </si>
  <si>
    <t>4045Р</t>
  </si>
  <si>
    <t>9*1,24</t>
  </si>
  <si>
    <t>ЭПК-1205</t>
  </si>
  <si>
    <t>время на погрузку а/м</t>
  </si>
  <si>
    <t>куб.м.</t>
  </si>
  <si>
    <t>коэф использ объема ковша</t>
  </si>
  <si>
    <t>ЭО-5123</t>
  </si>
  <si>
    <t>кол-во ездок</t>
  </si>
  <si>
    <t>Тн</t>
  </si>
  <si>
    <t>lег</t>
  </si>
  <si>
    <t>время простоя за ездку</t>
  </si>
  <si>
    <t>tпз</t>
  </si>
  <si>
    <t>tмо</t>
  </si>
  <si>
    <t>Тм</t>
  </si>
  <si>
    <t>Трв</t>
  </si>
  <si>
    <t>кол-во смен</t>
  </si>
  <si>
    <t>Qe</t>
  </si>
  <si>
    <t>Qo</t>
  </si>
  <si>
    <t>Qн</t>
  </si>
  <si>
    <t>Ре</t>
  </si>
  <si>
    <t>Ро</t>
  </si>
  <si>
    <t>Рн</t>
  </si>
  <si>
    <t>lср</t>
  </si>
  <si>
    <t>холостой пробег</t>
  </si>
  <si>
    <t>нулевой пробег</t>
  </si>
  <si>
    <t>Lг</t>
  </si>
  <si>
    <t>Lх</t>
  </si>
  <si>
    <t>Lн</t>
  </si>
  <si>
    <t>Lс</t>
  </si>
  <si>
    <t>Коэф исп проб.за об</t>
  </si>
  <si>
    <t>Коэф исп проб.в наряде</t>
  </si>
  <si>
    <t>Vт за время в наряде</t>
  </si>
  <si>
    <t>Vэ за время в наряде</t>
  </si>
  <si>
    <t>интервал движения</t>
  </si>
  <si>
    <t>частота движения</t>
  </si>
  <si>
    <t>автомобиле-дни эксплуатации на маршруте</t>
  </si>
  <si>
    <t>to</t>
  </si>
  <si>
    <t>te</t>
  </si>
  <si>
    <t>zo</t>
  </si>
  <si>
    <t>ze</t>
  </si>
  <si>
    <t>время на нулевой</t>
  </si>
  <si>
    <t>динамич</t>
  </si>
  <si>
    <t>статич</t>
  </si>
  <si>
    <t>Ам на маршруте</t>
  </si>
  <si>
    <t>BD-DC</t>
  </si>
  <si>
    <t>ядохимикаты:</t>
  </si>
  <si>
    <t>лес:</t>
  </si>
  <si>
    <t>станки:</t>
  </si>
  <si>
    <t>капуста:</t>
  </si>
  <si>
    <t>опилки:</t>
  </si>
  <si>
    <t>щебень:</t>
  </si>
  <si>
    <t>округляем</t>
  </si>
  <si>
    <t xml:space="preserve">пробег </t>
  </si>
  <si>
    <t>B-A</t>
  </si>
  <si>
    <t>B-C</t>
  </si>
  <si>
    <t>B-B</t>
  </si>
  <si>
    <t>B-D</t>
  </si>
  <si>
    <t>DC</t>
  </si>
  <si>
    <t>8 часов</t>
  </si>
  <si>
    <t>250 дней</t>
  </si>
  <si>
    <t>№</t>
  </si>
  <si>
    <t>ФИО</t>
  </si>
  <si>
    <t>чила месяца</t>
  </si>
  <si>
    <t>в</t>
  </si>
  <si>
    <t>р</t>
  </si>
  <si>
    <t>Тмф</t>
  </si>
  <si>
    <t>Тв</t>
  </si>
  <si>
    <t>Ам</t>
  </si>
  <si>
    <t>n рс</t>
  </si>
  <si>
    <t>=</t>
  </si>
  <si>
    <t>n дс</t>
  </si>
  <si>
    <t>общее время</t>
  </si>
  <si>
    <t>рх</t>
  </si>
  <si>
    <t>скорость</t>
  </si>
  <si>
    <t>часы</t>
  </si>
  <si>
    <t>обед</t>
  </si>
  <si>
    <t>погрузка</t>
  </si>
  <si>
    <t>разгрузка</t>
  </si>
  <si>
    <t>расст перем тележки</t>
  </si>
  <si>
    <t>скор перем</t>
  </si>
  <si>
    <t>козловой кран</t>
  </si>
  <si>
    <t>КК-30,5</t>
  </si>
  <si>
    <t>время</t>
  </si>
  <si>
    <t>атп-с</t>
  </si>
  <si>
    <t>с-а</t>
  </si>
  <si>
    <t>а-с</t>
  </si>
  <si>
    <t>пересменка</t>
  </si>
  <si>
    <t>с-атп</t>
  </si>
  <si>
    <t>пункты</t>
  </si>
  <si>
    <t>интервал</t>
  </si>
  <si>
    <t>последний</t>
  </si>
  <si>
    <t>b-d</t>
  </si>
  <si>
    <t>d-c</t>
  </si>
  <si>
    <t>c-b</t>
  </si>
  <si>
    <t>с-f</t>
  </si>
  <si>
    <t>f-c</t>
  </si>
  <si>
    <t>c-атп</t>
  </si>
  <si>
    <t>15 часов</t>
  </si>
  <si>
    <t>365 дней</t>
  </si>
  <si>
    <t>списочный инвентарный парк пс</t>
  </si>
  <si>
    <t>средняя грузоподъемность</t>
  </si>
  <si>
    <t>среднесуточный пробег</t>
  </si>
  <si>
    <t>коэф исп пробега</t>
  </si>
  <si>
    <t>техническая скорость</t>
  </si>
  <si>
    <t>эксплуатационная скорость</t>
  </si>
  <si>
    <t>время простоя в пунктах за ездку</t>
  </si>
  <si>
    <t>показатели атп</t>
  </si>
  <si>
    <t>L суммар</t>
  </si>
  <si>
    <t>Lг суммар</t>
  </si>
  <si>
    <t>время в наряде</t>
  </si>
  <si>
    <t>средняя длина ездки с грузом</t>
  </si>
  <si>
    <t>Z суммар</t>
  </si>
  <si>
    <t>коэф статического исп грузопод</t>
  </si>
  <si>
    <t>коэф динамического исп грузопод</t>
  </si>
  <si>
    <t>среднее расстояние перевозки</t>
  </si>
  <si>
    <t>суточная прозв-сть парка в тоннах</t>
  </si>
  <si>
    <t>суточная прозв-сть парка в тонно-км</t>
  </si>
  <si>
    <t>годовая прозв-сть парка в тоннах</t>
  </si>
  <si>
    <t>годовая прозв-сть парка в тонно-км</t>
  </si>
  <si>
    <t>выработка на ону авт-тонну в тоннах</t>
  </si>
  <si>
    <t>выработка на ону авт-тонну в тонно-км</t>
  </si>
  <si>
    <t>подмен</t>
  </si>
  <si>
    <t>кол-во полуприцепов</t>
  </si>
  <si>
    <t>округленное для полуприцепов</t>
  </si>
  <si>
    <t>диспетчеры</t>
  </si>
  <si>
    <t>время простоя, ч/ездку</t>
  </si>
  <si>
    <t>наименование груза</t>
  </si>
  <si>
    <t>пс</t>
  </si>
  <si>
    <t>нормативное</t>
  </si>
  <si>
    <t>основное</t>
  </si>
  <si>
    <t>возможное</t>
  </si>
  <si>
    <t>возможное снижение,%</t>
  </si>
  <si>
    <t>таблица 8</t>
  </si>
  <si>
    <t>маршруты</t>
  </si>
  <si>
    <t>яды</t>
  </si>
  <si>
    <t>I</t>
  </si>
  <si>
    <t>выпуск последнего</t>
  </si>
  <si>
    <t>выпуск первого</t>
  </si>
  <si>
    <t>время простоя для КрАЗ-250</t>
  </si>
  <si>
    <t>стационарный автомобилеразгрузчик ГУАР-30</t>
  </si>
  <si>
    <t>рабочий цикл сек</t>
  </si>
  <si>
    <t>простой полуприцепа на погр/разгр при перецепке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</si>
</sst>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Arial Cyr"/>
      <family val="2"/>
    </font>
    <font>
      <sz val="8"/>
      <name val="Arial Cyr"/>
      <family val="2"/>
    </font>
    <font>
      <sz val="9"/>
      <name val="Arial Cyr"/>
      <family val="0"/>
    </font>
    <font>
      <sz val="10.75"/>
      <name val="Arial Cyr"/>
      <family val="0"/>
    </font>
    <font>
      <sz val="10.25"/>
      <name val="Arial Cyr"/>
      <family val="0"/>
    </font>
    <font>
      <sz val="5.5"/>
      <name val="Arial Cyr"/>
      <family val="2"/>
    </font>
  </fonts>
  <fills count="9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3" borderId="0" xfId="0" applyFill="1" applyAlignment="1">
      <alignment/>
    </xf>
    <xf numFmtId="0" fontId="0" fillId="0" borderId="0" xfId="0" applyFont="1" applyAlignment="1">
      <alignment/>
    </xf>
    <xf numFmtId="0" fontId="0" fillId="3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4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2" fillId="0" borderId="0" xfId="0" applyNumberFormat="1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chartsheet" Target="chartsheets/sheet1.xml" /><Relationship Id="rId13" Type="http://schemas.openxmlformats.org/officeDocument/2006/relationships/worksheet" Target="worksheets/sheet12.xml" /><Relationship Id="rId14" Type="http://schemas.openxmlformats.org/officeDocument/2006/relationships/chartsheet" Target="chartsheets/sheet2.xml" /><Relationship Id="rId15" Type="http://schemas.openxmlformats.org/officeDocument/2006/relationships/worksheet" Target="worksheets/sheet13.xml" /><Relationship Id="rId16" Type="http://schemas.openxmlformats.org/officeDocument/2006/relationships/chartsheet" Target="chartsheets/sheet3.xml" /><Relationship Id="rId17" Type="http://schemas.openxmlformats.org/officeDocument/2006/relationships/worksheet" Target="worksheets/sheet14.xml" /><Relationship Id="rId18" Type="http://schemas.openxmlformats.org/officeDocument/2006/relationships/chartsheet" Target="chartsheets/sheet4.xml" /><Relationship Id="rId19" Type="http://schemas.openxmlformats.org/officeDocument/2006/relationships/worksheet" Target="worksheets/sheet15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14725"/>
          <c:w val="1"/>
          <c:h val="0.57825"/>
        </c:manualLayout>
      </c:layout>
      <c:scatterChart>
        <c:scatterStyle val="lineMarker"/>
        <c:varyColors val="0"/>
        <c:ser>
          <c:idx val="0"/>
          <c:order val="0"/>
          <c:tx>
            <c:v>первый автомобиль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график1!$E$5:$E$36</c:f>
              <c:numCache>
                <c:ptCount val="32"/>
                <c:pt idx="0">
                  <c:v>5</c:v>
                </c:pt>
                <c:pt idx="1">
                  <c:v>5.444444444444445</c:v>
                </c:pt>
                <c:pt idx="2">
                  <c:v>6.0777777777777775</c:v>
                </c:pt>
                <c:pt idx="3">
                  <c:v>6.811111111111111</c:v>
                </c:pt>
                <c:pt idx="4">
                  <c:v>7.444444444444445</c:v>
                </c:pt>
                <c:pt idx="5">
                  <c:v>8.177777777777777</c:v>
                </c:pt>
                <c:pt idx="6">
                  <c:v>8.81111111111111</c:v>
                </c:pt>
                <c:pt idx="7">
                  <c:v>9.81111111111111</c:v>
                </c:pt>
                <c:pt idx="8">
                  <c:v>10.544444444444443</c:v>
                </c:pt>
                <c:pt idx="9">
                  <c:v>11.177777777777775</c:v>
                </c:pt>
                <c:pt idx="10">
                  <c:v>11.911111111111108</c:v>
                </c:pt>
                <c:pt idx="11">
                  <c:v>12.54444444444444</c:v>
                </c:pt>
                <c:pt idx="12">
                  <c:v>13.277777777777773</c:v>
                </c:pt>
                <c:pt idx="13">
                  <c:v>13.911111111111106</c:v>
                </c:pt>
                <c:pt idx="14">
                  <c:v>14.644444444444439</c:v>
                </c:pt>
                <c:pt idx="15">
                  <c:v>15.088888888888883</c:v>
                </c:pt>
                <c:pt idx="16">
                  <c:v>15.172222222222217</c:v>
                </c:pt>
                <c:pt idx="17">
                  <c:v>15.616666666666662</c:v>
                </c:pt>
                <c:pt idx="18">
                  <c:v>16.249999999999996</c:v>
                </c:pt>
                <c:pt idx="19">
                  <c:v>16.98333333333333</c:v>
                </c:pt>
                <c:pt idx="20">
                  <c:v>17.616666666666664</c:v>
                </c:pt>
                <c:pt idx="21">
                  <c:v>18.349999999999998</c:v>
                </c:pt>
                <c:pt idx="22">
                  <c:v>18.98333333333333</c:v>
                </c:pt>
                <c:pt idx="23">
                  <c:v>19.98333333333333</c:v>
                </c:pt>
                <c:pt idx="24">
                  <c:v>20.716666666666665</c:v>
                </c:pt>
                <c:pt idx="25">
                  <c:v>21.349999999999998</c:v>
                </c:pt>
                <c:pt idx="26">
                  <c:v>22.083333333333332</c:v>
                </c:pt>
                <c:pt idx="27">
                  <c:v>22.716666666666665</c:v>
                </c:pt>
                <c:pt idx="28">
                  <c:v>23.45</c:v>
                </c:pt>
                <c:pt idx="29">
                  <c:v>24.083333333333332</c:v>
                </c:pt>
                <c:pt idx="30">
                  <c:v>24.816666666666666</c:v>
                </c:pt>
                <c:pt idx="31">
                  <c:v>25.26111111111111</c:v>
                </c:pt>
              </c:numCache>
            </c:numRef>
          </c:xVal>
          <c:yVal>
            <c:numRef>
              <c:f>график1!$D$5:$D$36</c:f>
              <c:numCache>
                <c:ptCount val="32"/>
                <c:pt idx="0">
                  <c:v>53</c:v>
                </c:pt>
                <c:pt idx="1">
                  <c:v>33</c:v>
                </c:pt>
                <c:pt idx="2">
                  <c:v>33</c:v>
                </c:pt>
                <c:pt idx="3">
                  <c:v>0</c:v>
                </c:pt>
                <c:pt idx="4">
                  <c:v>0</c:v>
                </c:pt>
                <c:pt idx="5">
                  <c:v>33</c:v>
                </c:pt>
                <c:pt idx="6">
                  <c:v>33</c:v>
                </c:pt>
                <c:pt idx="7">
                  <c:v>33</c:v>
                </c:pt>
                <c:pt idx="8">
                  <c:v>0</c:v>
                </c:pt>
                <c:pt idx="9">
                  <c:v>0</c:v>
                </c:pt>
                <c:pt idx="10">
                  <c:v>33</c:v>
                </c:pt>
                <c:pt idx="11">
                  <c:v>33</c:v>
                </c:pt>
                <c:pt idx="12">
                  <c:v>0</c:v>
                </c:pt>
                <c:pt idx="13">
                  <c:v>0</c:v>
                </c:pt>
                <c:pt idx="14">
                  <c:v>33</c:v>
                </c:pt>
                <c:pt idx="15">
                  <c:v>53</c:v>
                </c:pt>
                <c:pt idx="16">
                  <c:v>53</c:v>
                </c:pt>
                <c:pt idx="17">
                  <c:v>33</c:v>
                </c:pt>
                <c:pt idx="18">
                  <c:v>33</c:v>
                </c:pt>
                <c:pt idx="19">
                  <c:v>0</c:v>
                </c:pt>
                <c:pt idx="20">
                  <c:v>0</c:v>
                </c:pt>
                <c:pt idx="21">
                  <c:v>33</c:v>
                </c:pt>
                <c:pt idx="22">
                  <c:v>33</c:v>
                </c:pt>
                <c:pt idx="23">
                  <c:v>33</c:v>
                </c:pt>
                <c:pt idx="24">
                  <c:v>0</c:v>
                </c:pt>
                <c:pt idx="25">
                  <c:v>0</c:v>
                </c:pt>
                <c:pt idx="26">
                  <c:v>33</c:v>
                </c:pt>
                <c:pt idx="27">
                  <c:v>33</c:v>
                </c:pt>
                <c:pt idx="28">
                  <c:v>0</c:v>
                </c:pt>
                <c:pt idx="29">
                  <c:v>0</c:v>
                </c:pt>
                <c:pt idx="30">
                  <c:v>33</c:v>
                </c:pt>
                <c:pt idx="31">
                  <c:v>53</c:v>
                </c:pt>
              </c:numCache>
            </c:numRef>
          </c:yVal>
          <c:smooth val="0"/>
        </c:ser>
        <c:ser>
          <c:idx val="1"/>
          <c:order val="1"/>
          <c:tx>
            <c:v>последний автомобиль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график1!$G$5:$G$36</c:f>
              <c:numCache>
                <c:ptCount val="32"/>
                <c:pt idx="0">
                  <c:v>7.733333333333333</c:v>
                </c:pt>
                <c:pt idx="1">
                  <c:v>8.177777777777777</c:v>
                </c:pt>
                <c:pt idx="2">
                  <c:v>8.81111111111111</c:v>
                </c:pt>
                <c:pt idx="3">
                  <c:v>9.544444444444444</c:v>
                </c:pt>
                <c:pt idx="4">
                  <c:v>10.177777777777777</c:v>
                </c:pt>
                <c:pt idx="5">
                  <c:v>10.911111111111111</c:v>
                </c:pt>
                <c:pt idx="6">
                  <c:v>11.544444444444444</c:v>
                </c:pt>
                <c:pt idx="7">
                  <c:v>12.544444444444444</c:v>
                </c:pt>
                <c:pt idx="8">
                  <c:v>13.277777777777775</c:v>
                </c:pt>
                <c:pt idx="9">
                  <c:v>13.911111111111108</c:v>
                </c:pt>
                <c:pt idx="10">
                  <c:v>14.644444444444442</c:v>
                </c:pt>
                <c:pt idx="11">
                  <c:v>15.277777777777775</c:v>
                </c:pt>
                <c:pt idx="12">
                  <c:v>16.011111111111106</c:v>
                </c:pt>
                <c:pt idx="13">
                  <c:v>16.64444444444444</c:v>
                </c:pt>
                <c:pt idx="14">
                  <c:v>17.377777777777773</c:v>
                </c:pt>
                <c:pt idx="15">
                  <c:v>17.822222222222216</c:v>
                </c:pt>
                <c:pt idx="16">
                  <c:v>17.90555555555555</c:v>
                </c:pt>
                <c:pt idx="17">
                  <c:v>18.349999999999994</c:v>
                </c:pt>
                <c:pt idx="18">
                  <c:v>18.98333333333333</c:v>
                </c:pt>
                <c:pt idx="19">
                  <c:v>19.716666666666665</c:v>
                </c:pt>
                <c:pt idx="20">
                  <c:v>20.349999999999998</c:v>
                </c:pt>
                <c:pt idx="21">
                  <c:v>21.083333333333332</c:v>
                </c:pt>
                <c:pt idx="22">
                  <c:v>21.716666666666665</c:v>
                </c:pt>
                <c:pt idx="23">
                  <c:v>22.716666666666665</c:v>
                </c:pt>
                <c:pt idx="24">
                  <c:v>23.45</c:v>
                </c:pt>
                <c:pt idx="25">
                  <c:v>24.083333333333332</c:v>
                </c:pt>
                <c:pt idx="26">
                  <c:v>24.816666666666666</c:v>
                </c:pt>
                <c:pt idx="27">
                  <c:v>25.45</c:v>
                </c:pt>
                <c:pt idx="28">
                  <c:v>26.183333333333334</c:v>
                </c:pt>
                <c:pt idx="29">
                  <c:v>26.816666666666666</c:v>
                </c:pt>
                <c:pt idx="30">
                  <c:v>27.55</c:v>
                </c:pt>
                <c:pt idx="31">
                  <c:v>27.994444444444444</c:v>
                </c:pt>
              </c:numCache>
            </c:numRef>
          </c:xVal>
          <c:yVal>
            <c:numRef>
              <c:f>график1!$D$5:$D$36</c:f>
              <c:numCache>
                <c:ptCount val="32"/>
                <c:pt idx="0">
                  <c:v>53</c:v>
                </c:pt>
                <c:pt idx="1">
                  <c:v>33</c:v>
                </c:pt>
                <c:pt idx="2">
                  <c:v>33</c:v>
                </c:pt>
                <c:pt idx="3">
                  <c:v>0</c:v>
                </c:pt>
                <c:pt idx="4">
                  <c:v>0</c:v>
                </c:pt>
                <c:pt idx="5">
                  <c:v>33</c:v>
                </c:pt>
                <c:pt idx="6">
                  <c:v>33</c:v>
                </c:pt>
                <c:pt idx="7">
                  <c:v>33</c:v>
                </c:pt>
                <c:pt idx="8">
                  <c:v>0</c:v>
                </c:pt>
                <c:pt idx="9">
                  <c:v>0</c:v>
                </c:pt>
                <c:pt idx="10">
                  <c:v>33</c:v>
                </c:pt>
                <c:pt idx="11">
                  <c:v>33</c:v>
                </c:pt>
                <c:pt idx="12">
                  <c:v>0</c:v>
                </c:pt>
                <c:pt idx="13">
                  <c:v>0</c:v>
                </c:pt>
                <c:pt idx="14">
                  <c:v>33</c:v>
                </c:pt>
                <c:pt idx="15">
                  <c:v>53</c:v>
                </c:pt>
                <c:pt idx="16">
                  <c:v>53</c:v>
                </c:pt>
                <c:pt idx="17">
                  <c:v>33</c:v>
                </c:pt>
                <c:pt idx="18">
                  <c:v>33</c:v>
                </c:pt>
                <c:pt idx="19">
                  <c:v>0</c:v>
                </c:pt>
                <c:pt idx="20">
                  <c:v>0</c:v>
                </c:pt>
                <c:pt idx="21">
                  <c:v>33</c:v>
                </c:pt>
                <c:pt idx="22">
                  <c:v>33</c:v>
                </c:pt>
                <c:pt idx="23">
                  <c:v>33</c:v>
                </c:pt>
                <c:pt idx="24">
                  <c:v>0</c:v>
                </c:pt>
                <c:pt idx="25">
                  <c:v>0</c:v>
                </c:pt>
                <c:pt idx="26">
                  <c:v>33</c:v>
                </c:pt>
                <c:pt idx="27">
                  <c:v>33</c:v>
                </c:pt>
                <c:pt idx="28">
                  <c:v>0</c:v>
                </c:pt>
                <c:pt idx="29">
                  <c:v>0</c:v>
                </c:pt>
                <c:pt idx="30">
                  <c:v>33</c:v>
                </c:pt>
                <c:pt idx="31">
                  <c:v>53</c:v>
                </c:pt>
              </c:numCache>
            </c:numRef>
          </c:yVal>
          <c:smooth val="0"/>
        </c:ser>
        <c:axId val="6605118"/>
        <c:axId val="59446063"/>
      </c:scatterChart>
      <c:valAx>
        <c:axId val="6605118"/>
        <c:scaling>
          <c:orientation val="minMax"/>
          <c:min val="5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5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9446063"/>
        <c:crosses val="autoZero"/>
        <c:crossBetween val="midCat"/>
        <c:dispUnits/>
      </c:valAx>
      <c:valAx>
        <c:axId val="594460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C0C0C0"/>
            </a:solidFill>
          </a:ln>
        </c:spPr>
        <c:crossAx val="660511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245"/>
          <c:y val="0"/>
          <c:w val="0.2795"/>
          <c:h val="0.106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8175"/>
          <c:w val="0.989"/>
          <c:h val="0.4605"/>
        </c:manualLayout>
      </c:layout>
      <c:scatterChart>
        <c:scatterStyle val="lineMarker"/>
        <c:varyColors val="0"/>
        <c:ser>
          <c:idx val="0"/>
          <c:order val="0"/>
          <c:tx>
            <c:v>первый автомобтль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график2!$E$5:$E$64</c:f>
              <c:numCache>
                <c:ptCount val="60"/>
                <c:pt idx="0">
                  <c:v>5</c:v>
                </c:pt>
                <c:pt idx="1">
                  <c:v>5.216666666666667</c:v>
                </c:pt>
                <c:pt idx="2">
                  <c:v>5.434848484848485</c:v>
                </c:pt>
                <c:pt idx="3">
                  <c:v>5.651515151515151</c:v>
                </c:pt>
                <c:pt idx="4">
                  <c:v>5.868181818181818</c:v>
                </c:pt>
                <c:pt idx="5">
                  <c:v>6.312626262626263</c:v>
                </c:pt>
                <c:pt idx="6">
                  <c:v>6.52929292929293</c:v>
                </c:pt>
                <c:pt idx="7">
                  <c:v>6.973737373737374</c:v>
                </c:pt>
                <c:pt idx="8">
                  <c:v>7.190404040404041</c:v>
                </c:pt>
                <c:pt idx="9">
                  <c:v>7.408585858585859</c:v>
                </c:pt>
                <c:pt idx="10">
                  <c:v>7.625252525252526</c:v>
                </c:pt>
                <c:pt idx="11">
                  <c:v>7.841919191919192</c:v>
                </c:pt>
                <c:pt idx="12">
                  <c:v>8.286363636363637</c:v>
                </c:pt>
                <c:pt idx="13">
                  <c:v>8.503030303030304</c:v>
                </c:pt>
                <c:pt idx="14">
                  <c:v>8.947474747474748</c:v>
                </c:pt>
                <c:pt idx="15">
                  <c:v>9.947474747474748</c:v>
                </c:pt>
                <c:pt idx="16">
                  <c:v>10.164141414141415</c:v>
                </c:pt>
                <c:pt idx="17">
                  <c:v>10.382323232323234</c:v>
                </c:pt>
                <c:pt idx="18">
                  <c:v>10.5989898989899</c:v>
                </c:pt>
                <c:pt idx="19">
                  <c:v>10.815656565656568</c:v>
                </c:pt>
                <c:pt idx="20">
                  <c:v>11.260101010101012</c:v>
                </c:pt>
                <c:pt idx="21">
                  <c:v>11.476767676767679</c:v>
                </c:pt>
                <c:pt idx="22">
                  <c:v>11.921212121212124</c:v>
                </c:pt>
                <c:pt idx="23">
                  <c:v>12.13787878787879</c:v>
                </c:pt>
                <c:pt idx="24">
                  <c:v>12.356060606060609</c:v>
                </c:pt>
                <c:pt idx="25">
                  <c:v>12.572727272727276</c:v>
                </c:pt>
                <c:pt idx="26">
                  <c:v>12.789393939393943</c:v>
                </c:pt>
                <c:pt idx="27">
                  <c:v>13.233838383838387</c:v>
                </c:pt>
                <c:pt idx="28">
                  <c:v>13.450505050505054</c:v>
                </c:pt>
                <c:pt idx="29">
                  <c:v>13.894949494949499</c:v>
                </c:pt>
                <c:pt idx="30">
                  <c:v>13.978282828282833</c:v>
                </c:pt>
                <c:pt idx="31">
                  <c:v>14.1949494949495</c:v>
                </c:pt>
                <c:pt idx="32">
                  <c:v>14.413131313131318</c:v>
                </c:pt>
                <c:pt idx="33">
                  <c:v>14.629797979797985</c:v>
                </c:pt>
                <c:pt idx="34">
                  <c:v>14.846464646464652</c:v>
                </c:pt>
                <c:pt idx="35">
                  <c:v>15.290909090909096</c:v>
                </c:pt>
                <c:pt idx="36">
                  <c:v>15.507575757575763</c:v>
                </c:pt>
                <c:pt idx="37">
                  <c:v>15.952020202020208</c:v>
                </c:pt>
                <c:pt idx="38">
                  <c:v>16.168686868686873</c:v>
                </c:pt>
                <c:pt idx="39">
                  <c:v>16.38686868686869</c:v>
                </c:pt>
                <c:pt idx="40">
                  <c:v>16.603535353535356</c:v>
                </c:pt>
                <c:pt idx="41">
                  <c:v>16.82020202020202</c:v>
                </c:pt>
                <c:pt idx="42">
                  <c:v>17.264646464646464</c:v>
                </c:pt>
                <c:pt idx="43">
                  <c:v>17.48131313131313</c:v>
                </c:pt>
                <c:pt idx="44">
                  <c:v>17.925757575757572</c:v>
                </c:pt>
                <c:pt idx="45">
                  <c:v>18.925757575757572</c:v>
                </c:pt>
                <c:pt idx="46">
                  <c:v>19.142424242424237</c:v>
                </c:pt>
                <c:pt idx="47">
                  <c:v>19.360606060606056</c:v>
                </c:pt>
                <c:pt idx="48">
                  <c:v>19.57727272727272</c:v>
                </c:pt>
                <c:pt idx="49">
                  <c:v>19.793939393939386</c:v>
                </c:pt>
                <c:pt idx="50">
                  <c:v>20.23838383838383</c:v>
                </c:pt>
                <c:pt idx="51">
                  <c:v>20.455050505050494</c:v>
                </c:pt>
                <c:pt idx="52">
                  <c:v>20.899494949494937</c:v>
                </c:pt>
                <c:pt idx="53">
                  <c:v>21.1161616161616</c:v>
                </c:pt>
                <c:pt idx="54">
                  <c:v>21.33434343434342</c:v>
                </c:pt>
                <c:pt idx="55">
                  <c:v>21.551010101010085</c:v>
                </c:pt>
                <c:pt idx="56">
                  <c:v>21.76767676767675</c:v>
                </c:pt>
                <c:pt idx="57">
                  <c:v>22.212121212121193</c:v>
                </c:pt>
                <c:pt idx="58">
                  <c:v>22.42878787878786</c:v>
                </c:pt>
                <c:pt idx="59">
                  <c:v>22.8732323232323</c:v>
                </c:pt>
              </c:numCache>
            </c:numRef>
          </c:xVal>
          <c:yVal>
            <c:numRef>
              <c:f>график2!$D$5:$D$64</c:f>
              <c:numCache>
                <c:ptCount val="60"/>
                <c:pt idx="0">
                  <c:v>32</c:v>
                </c:pt>
                <c:pt idx="1">
                  <c:v>32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0</c:v>
                </c:pt>
                <c:pt idx="6">
                  <c:v>0</c:v>
                </c:pt>
                <c:pt idx="7">
                  <c:v>32</c:v>
                </c:pt>
                <c:pt idx="8">
                  <c:v>32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32</c:v>
                </c:pt>
                <c:pt idx="16">
                  <c:v>32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0</c:v>
                </c:pt>
                <c:pt idx="21">
                  <c:v>0</c:v>
                </c:pt>
                <c:pt idx="22">
                  <c:v>32</c:v>
                </c:pt>
                <c:pt idx="23">
                  <c:v>32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0</c:v>
                </c:pt>
                <c:pt idx="28">
                  <c:v>0</c:v>
                </c:pt>
                <c:pt idx="29">
                  <c:v>32</c:v>
                </c:pt>
                <c:pt idx="30">
                  <c:v>32</c:v>
                </c:pt>
                <c:pt idx="31">
                  <c:v>32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0</c:v>
                </c:pt>
                <c:pt idx="36">
                  <c:v>0</c:v>
                </c:pt>
                <c:pt idx="37">
                  <c:v>32</c:v>
                </c:pt>
                <c:pt idx="38">
                  <c:v>32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32</c:v>
                </c:pt>
                <c:pt idx="46">
                  <c:v>32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0</c:v>
                </c:pt>
                <c:pt idx="51">
                  <c:v>0</c:v>
                </c:pt>
                <c:pt idx="52">
                  <c:v>32</c:v>
                </c:pt>
                <c:pt idx="53">
                  <c:v>32</c:v>
                </c:pt>
                <c:pt idx="54">
                  <c:v>20</c:v>
                </c:pt>
                <c:pt idx="55">
                  <c:v>20</c:v>
                </c:pt>
                <c:pt idx="56">
                  <c:v>20</c:v>
                </c:pt>
                <c:pt idx="57">
                  <c:v>0</c:v>
                </c:pt>
                <c:pt idx="58">
                  <c:v>0</c:v>
                </c:pt>
                <c:pt idx="59">
                  <c:v>32</c:v>
                </c:pt>
              </c:numCache>
            </c:numRef>
          </c:yVal>
          <c:smooth val="0"/>
        </c:ser>
        <c:ser>
          <c:idx val="1"/>
          <c:order val="1"/>
          <c:tx>
            <c:v>последний автомобиль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0000FF"/>
                </a:solidFill>
              </a:ln>
            </c:spPr>
          </c:marker>
          <c:dPt>
            <c:idx val="59"/>
            <c:spPr>
              <a:ln w="12700">
                <a:solidFill>
                  <a:srgbClr val="969696"/>
                </a:solidFill>
              </a:ln>
            </c:spPr>
            <c:marker>
              <c:size val="3"/>
              <c:spPr>
                <a:solidFill>
                  <a:srgbClr val="339966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график2!$G$5:$G$64</c:f>
              <c:numCache>
                <c:ptCount val="60"/>
                <c:pt idx="0">
                  <c:v>6.973737373737373</c:v>
                </c:pt>
                <c:pt idx="1">
                  <c:v>7.19040404040404</c:v>
                </c:pt>
                <c:pt idx="2">
                  <c:v>7.408585858585858</c:v>
                </c:pt>
                <c:pt idx="3">
                  <c:v>7.625252525252525</c:v>
                </c:pt>
                <c:pt idx="4">
                  <c:v>7.8419191919191915</c:v>
                </c:pt>
                <c:pt idx="5">
                  <c:v>8.286363636363637</c:v>
                </c:pt>
                <c:pt idx="6">
                  <c:v>8.503030303030304</c:v>
                </c:pt>
                <c:pt idx="7">
                  <c:v>8.947474747474748</c:v>
                </c:pt>
                <c:pt idx="8">
                  <c:v>9.164141414141415</c:v>
                </c:pt>
                <c:pt idx="9">
                  <c:v>9.382323232323232</c:v>
                </c:pt>
                <c:pt idx="10">
                  <c:v>9.598989898989899</c:v>
                </c:pt>
                <c:pt idx="11">
                  <c:v>9.815656565656566</c:v>
                </c:pt>
                <c:pt idx="12">
                  <c:v>10.26010101010101</c:v>
                </c:pt>
                <c:pt idx="13">
                  <c:v>10.476767676767677</c:v>
                </c:pt>
                <c:pt idx="14">
                  <c:v>10.921212121212122</c:v>
                </c:pt>
                <c:pt idx="15">
                  <c:v>11.921212121212122</c:v>
                </c:pt>
                <c:pt idx="16">
                  <c:v>12.137878787878789</c:v>
                </c:pt>
                <c:pt idx="17">
                  <c:v>12.356060606060607</c:v>
                </c:pt>
                <c:pt idx="18">
                  <c:v>12.572727272727274</c:v>
                </c:pt>
                <c:pt idx="19">
                  <c:v>12.78939393939394</c:v>
                </c:pt>
                <c:pt idx="20">
                  <c:v>13.233838383838386</c:v>
                </c:pt>
                <c:pt idx="21">
                  <c:v>13.450505050505052</c:v>
                </c:pt>
                <c:pt idx="22">
                  <c:v>13.894949494949497</c:v>
                </c:pt>
                <c:pt idx="23">
                  <c:v>14.111616161616164</c:v>
                </c:pt>
                <c:pt idx="24">
                  <c:v>14.329797979797982</c:v>
                </c:pt>
                <c:pt idx="25">
                  <c:v>14.54646464646465</c:v>
                </c:pt>
                <c:pt idx="26">
                  <c:v>14.763131313131316</c:v>
                </c:pt>
                <c:pt idx="27">
                  <c:v>15.20757575757576</c:v>
                </c:pt>
                <c:pt idx="28">
                  <c:v>15.424242424242427</c:v>
                </c:pt>
                <c:pt idx="29">
                  <c:v>15.868686868686872</c:v>
                </c:pt>
                <c:pt idx="30">
                  <c:v>15.952020202020206</c:v>
                </c:pt>
                <c:pt idx="31">
                  <c:v>16.168686868686873</c:v>
                </c:pt>
                <c:pt idx="32">
                  <c:v>16.38686868686869</c:v>
                </c:pt>
                <c:pt idx="33">
                  <c:v>16.60353535353536</c:v>
                </c:pt>
                <c:pt idx="34">
                  <c:v>16.820202020202025</c:v>
                </c:pt>
                <c:pt idx="35">
                  <c:v>17.26464646464647</c:v>
                </c:pt>
                <c:pt idx="36">
                  <c:v>17.481313131313136</c:v>
                </c:pt>
                <c:pt idx="37">
                  <c:v>17.925757575757583</c:v>
                </c:pt>
                <c:pt idx="38">
                  <c:v>18.142424242424248</c:v>
                </c:pt>
                <c:pt idx="39">
                  <c:v>18.360606060606067</c:v>
                </c:pt>
                <c:pt idx="40">
                  <c:v>18.57727272727273</c:v>
                </c:pt>
                <c:pt idx="41">
                  <c:v>18.793939393939397</c:v>
                </c:pt>
                <c:pt idx="42">
                  <c:v>19.23838383838384</c:v>
                </c:pt>
                <c:pt idx="43">
                  <c:v>19.455050505050504</c:v>
                </c:pt>
                <c:pt idx="44">
                  <c:v>19.899494949494947</c:v>
                </c:pt>
                <c:pt idx="45">
                  <c:v>20.899494949494947</c:v>
                </c:pt>
                <c:pt idx="46">
                  <c:v>21.116161616161612</c:v>
                </c:pt>
                <c:pt idx="47">
                  <c:v>21.33434343434343</c:v>
                </c:pt>
                <c:pt idx="48">
                  <c:v>21.551010101010096</c:v>
                </c:pt>
                <c:pt idx="49">
                  <c:v>21.76767676767676</c:v>
                </c:pt>
                <c:pt idx="50">
                  <c:v>22.212121212121204</c:v>
                </c:pt>
                <c:pt idx="51">
                  <c:v>22.42878787878787</c:v>
                </c:pt>
                <c:pt idx="52">
                  <c:v>22.873232323232312</c:v>
                </c:pt>
                <c:pt idx="53">
                  <c:v>23.089898989898977</c:v>
                </c:pt>
                <c:pt idx="54">
                  <c:v>23.308080808080796</c:v>
                </c:pt>
                <c:pt idx="55">
                  <c:v>23.52474747474746</c:v>
                </c:pt>
                <c:pt idx="56">
                  <c:v>23.741414141414126</c:v>
                </c:pt>
                <c:pt idx="57">
                  <c:v>24.18585858585857</c:v>
                </c:pt>
                <c:pt idx="58">
                  <c:v>24.402525252525233</c:v>
                </c:pt>
                <c:pt idx="59">
                  <c:v>24.846969696969676</c:v>
                </c:pt>
              </c:numCache>
            </c:numRef>
          </c:xVal>
          <c:yVal>
            <c:numRef>
              <c:f>график2!$D$5:$D$64</c:f>
              <c:numCache>
                <c:ptCount val="60"/>
                <c:pt idx="0">
                  <c:v>32</c:v>
                </c:pt>
                <c:pt idx="1">
                  <c:v>32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0</c:v>
                </c:pt>
                <c:pt idx="6">
                  <c:v>0</c:v>
                </c:pt>
                <c:pt idx="7">
                  <c:v>32</c:v>
                </c:pt>
                <c:pt idx="8">
                  <c:v>32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32</c:v>
                </c:pt>
                <c:pt idx="16">
                  <c:v>32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0</c:v>
                </c:pt>
                <c:pt idx="21">
                  <c:v>0</c:v>
                </c:pt>
                <c:pt idx="22">
                  <c:v>32</c:v>
                </c:pt>
                <c:pt idx="23">
                  <c:v>32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0</c:v>
                </c:pt>
                <c:pt idx="28">
                  <c:v>0</c:v>
                </c:pt>
                <c:pt idx="29">
                  <c:v>32</c:v>
                </c:pt>
                <c:pt idx="30">
                  <c:v>32</c:v>
                </c:pt>
                <c:pt idx="31">
                  <c:v>32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0</c:v>
                </c:pt>
                <c:pt idx="36">
                  <c:v>0</c:v>
                </c:pt>
                <c:pt idx="37">
                  <c:v>32</c:v>
                </c:pt>
                <c:pt idx="38">
                  <c:v>32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32</c:v>
                </c:pt>
                <c:pt idx="46">
                  <c:v>32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0</c:v>
                </c:pt>
                <c:pt idx="51">
                  <c:v>0</c:v>
                </c:pt>
                <c:pt idx="52">
                  <c:v>32</c:v>
                </c:pt>
                <c:pt idx="53">
                  <c:v>32</c:v>
                </c:pt>
                <c:pt idx="54">
                  <c:v>20</c:v>
                </c:pt>
                <c:pt idx="55">
                  <c:v>20</c:v>
                </c:pt>
                <c:pt idx="56">
                  <c:v>20</c:v>
                </c:pt>
                <c:pt idx="57">
                  <c:v>0</c:v>
                </c:pt>
                <c:pt idx="58">
                  <c:v>0</c:v>
                </c:pt>
                <c:pt idx="59">
                  <c:v>32</c:v>
                </c:pt>
              </c:numCache>
            </c:numRef>
          </c:yVal>
          <c:smooth val="0"/>
        </c:ser>
        <c:axId val="65252520"/>
        <c:axId val="50401769"/>
      </c:scatterChart>
      <c:valAx>
        <c:axId val="65252520"/>
        <c:scaling>
          <c:orientation val="minMax"/>
          <c:max val="25"/>
          <c:min val="5"/>
        </c:scaling>
        <c:axPos val="b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0401769"/>
        <c:crosses val="autoZero"/>
        <c:crossBetween val="midCat"/>
        <c:dispUnits/>
      </c:valAx>
      <c:valAx>
        <c:axId val="50401769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525252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405"/>
          <c:y val="0"/>
          <c:w val="0.2705"/>
          <c:h val="0.06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1585"/>
          <c:w val="0.9135"/>
          <c:h val="0.66225"/>
        </c:manualLayout>
      </c:layout>
      <c:scatterChart>
        <c:scatterStyle val="lineMarker"/>
        <c:varyColors val="0"/>
        <c:ser>
          <c:idx val="0"/>
          <c:order val="0"/>
          <c:tx>
            <c:v>первый автомобиль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график3!$E$5:$E$20</c:f>
              <c:numCache>
                <c:ptCount val="16"/>
                <c:pt idx="0">
                  <c:v>5</c:v>
                </c:pt>
                <c:pt idx="1">
                  <c:v>5.493827160493828</c:v>
                </c:pt>
                <c:pt idx="2">
                  <c:v>5.927160493827161</c:v>
                </c:pt>
                <c:pt idx="3">
                  <c:v>6.890123456790124</c:v>
                </c:pt>
                <c:pt idx="4">
                  <c:v>7.3234567901234575</c:v>
                </c:pt>
                <c:pt idx="5">
                  <c:v>8.28641975308642</c:v>
                </c:pt>
                <c:pt idx="6">
                  <c:v>8.719753086419754</c:v>
                </c:pt>
                <c:pt idx="7">
                  <c:v>9.719753086419754</c:v>
                </c:pt>
                <c:pt idx="8">
                  <c:v>10.682716049382718</c:v>
                </c:pt>
                <c:pt idx="9">
                  <c:v>11.116049382716051</c:v>
                </c:pt>
                <c:pt idx="10">
                  <c:v>12.079012345679015</c:v>
                </c:pt>
                <c:pt idx="11">
                  <c:v>12.512345679012348</c:v>
                </c:pt>
                <c:pt idx="12">
                  <c:v>13.475308641975312</c:v>
                </c:pt>
                <c:pt idx="13">
                  <c:v>13.908641975308646</c:v>
                </c:pt>
                <c:pt idx="14">
                  <c:v>14.87160493827161</c:v>
                </c:pt>
                <c:pt idx="15">
                  <c:v>15.365432098765437</c:v>
                </c:pt>
              </c:numCache>
            </c:numRef>
          </c:xVal>
          <c:yVal>
            <c:numRef>
              <c:f>график3!$D$5:$D$20</c:f>
              <c:numCache>
                <c:ptCount val="16"/>
                <c:pt idx="0">
                  <c:v>59</c:v>
                </c:pt>
                <c:pt idx="1">
                  <c:v>39</c:v>
                </c:pt>
                <c:pt idx="2">
                  <c:v>39</c:v>
                </c:pt>
                <c:pt idx="3">
                  <c:v>0</c:v>
                </c:pt>
                <c:pt idx="4">
                  <c:v>0</c:v>
                </c:pt>
                <c:pt idx="5">
                  <c:v>39</c:v>
                </c:pt>
                <c:pt idx="6">
                  <c:v>39</c:v>
                </c:pt>
                <c:pt idx="7">
                  <c:v>39</c:v>
                </c:pt>
                <c:pt idx="8">
                  <c:v>0</c:v>
                </c:pt>
                <c:pt idx="9">
                  <c:v>0</c:v>
                </c:pt>
                <c:pt idx="10">
                  <c:v>39</c:v>
                </c:pt>
                <c:pt idx="11">
                  <c:v>39</c:v>
                </c:pt>
                <c:pt idx="12">
                  <c:v>0</c:v>
                </c:pt>
                <c:pt idx="13">
                  <c:v>0</c:v>
                </c:pt>
                <c:pt idx="14">
                  <c:v>39</c:v>
                </c:pt>
                <c:pt idx="15">
                  <c:v>59</c:v>
                </c:pt>
              </c:numCache>
            </c:numRef>
          </c:yVal>
          <c:smooth val="0"/>
        </c:ser>
        <c:ser>
          <c:idx val="1"/>
          <c:order val="1"/>
          <c:tx>
            <c:v>последний автомобиль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график3!$G$5:$G$20</c:f>
              <c:numCache>
                <c:ptCount val="16"/>
                <c:pt idx="0">
                  <c:v>7.792592592592593</c:v>
                </c:pt>
                <c:pt idx="1">
                  <c:v>8.28641975308642</c:v>
                </c:pt>
                <c:pt idx="2">
                  <c:v>8.719753086419754</c:v>
                </c:pt>
                <c:pt idx="3">
                  <c:v>9.682716049382716</c:v>
                </c:pt>
                <c:pt idx="4">
                  <c:v>10.11604938271605</c:v>
                </c:pt>
                <c:pt idx="5">
                  <c:v>11.079012345679013</c:v>
                </c:pt>
                <c:pt idx="6">
                  <c:v>11.512345679012347</c:v>
                </c:pt>
                <c:pt idx="7">
                  <c:v>12.512345679012347</c:v>
                </c:pt>
                <c:pt idx="8">
                  <c:v>13.47530864197531</c:v>
                </c:pt>
                <c:pt idx="9">
                  <c:v>13.908641975308644</c:v>
                </c:pt>
                <c:pt idx="10">
                  <c:v>14.871604938271608</c:v>
                </c:pt>
                <c:pt idx="11">
                  <c:v>15.304938271604941</c:v>
                </c:pt>
                <c:pt idx="12">
                  <c:v>16.267901234567905</c:v>
                </c:pt>
                <c:pt idx="13">
                  <c:v>16.70123456790124</c:v>
                </c:pt>
                <c:pt idx="14">
                  <c:v>17.6641975308642</c:v>
                </c:pt>
                <c:pt idx="15">
                  <c:v>18.15802469135803</c:v>
                </c:pt>
              </c:numCache>
            </c:numRef>
          </c:xVal>
          <c:yVal>
            <c:numRef>
              <c:f>график3!$D$5:$D$20</c:f>
              <c:numCache>
                <c:ptCount val="16"/>
                <c:pt idx="0">
                  <c:v>59</c:v>
                </c:pt>
                <c:pt idx="1">
                  <c:v>39</c:v>
                </c:pt>
                <c:pt idx="2">
                  <c:v>39</c:v>
                </c:pt>
                <c:pt idx="3">
                  <c:v>0</c:v>
                </c:pt>
                <c:pt idx="4">
                  <c:v>0</c:v>
                </c:pt>
                <c:pt idx="5">
                  <c:v>39</c:v>
                </c:pt>
                <c:pt idx="6">
                  <c:v>39</c:v>
                </c:pt>
                <c:pt idx="7">
                  <c:v>39</c:v>
                </c:pt>
                <c:pt idx="8">
                  <c:v>0</c:v>
                </c:pt>
                <c:pt idx="9">
                  <c:v>0</c:v>
                </c:pt>
                <c:pt idx="10">
                  <c:v>39</c:v>
                </c:pt>
                <c:pt idx="11">
                  <c:v>39</c:v>
                </c:pt>
                <c:pt idx="12">
                  <c:v>0</c:v>
                </c:pt>
                <c:pt idx="13">
                  <c:v>0</c:v>
                </c:pt>
                <c:pt idx="14">
                  <c:v>39</c:v>
                </c:pt>
                <c:pt idx="15">
                  <c:v>59</c:v>
                </c:pt>
              </c:numCache>
            </c:numRef>
          </c:yVal>
          <c:smooth val="0"/>
        </c:ser>
        <c:axId val="50962738"/>
        <c:axId val="56011459"/>
      </c:scatterChart>
      <c:valAx>
        <c:axId val="50962738"/>
        <c:scaling>
          <c:orientation val="minMax"/>
          <c:min val="5"/>
        </c:scaling>
        <c:axPos val="b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C0C0C0"/>
            </a:solidFill>
          </a:ln>
        </c:spPr>
        <c:crossAx val="56011459"/>
        <c:crosses val="autoZero"/>
        <c:crossBetween val="midCat"/>
        <c:dispUnits/>
      </c:valAx>
      <c:valAx>
        <c:axId val="560114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C0C0C0"/>
            </a:solidFill>
          </a:ln>
        </c:spPr>
        <c:crossAx val="509627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9325"/>
          <c:y val="0.0045"/>
          <c:w val="0.243"/>
          <c:h val="0.11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'выпуск-возврат'!$B$5:$B$8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8.622222222222222</c:v>
                </c:pt>
                <c:pt idx="3">
                  <c:v>8.622222222222222</c:v>
                </c:pt>
              </c:numCache>
            </c:numRef>
          </c:xVal>
          <c:yVal>
            <c:numRef>
              <c:f>'выпуск-возврат'!$B$10:$B$13</c:f>
              <c:numCach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'выпуск-возврат'!$C$5:$C$8</c:f>
              <c:numCache>
                <c:ptCount val="4"/>
                <c:pt idx="0">
                  <c:v>5.166666666666667</c:v>
                </c:pt>
                <c:pt idx="1">
                  <c:v>7.287586153846155</c:v>
                </c:pt>
                <c:pt idx="2">
                  <c:v>17.288888888888888</c:v>
                </c:pt>
                <c:pt idx="3">
                  <c:v>15.1679694017094</c:v>
                </c:pt>
              </c:numCache>
            </c:numRef>
          </c:xVal>
          <c:yVal>
            <c:numRef>
              <c:f>'выпуск-возврат'!$C$10:$C$13</c:f>
              <c:numCache>
                <c:ptCount val="4"/>
                <c:pt idx="0">
                  <c:v>1</c:v>
                </c:pt>
                <c:pt idx="1">
                  <c:v>6</c:v>
                </c:pt>
                <c:pt idx="2">
                  <c:v>6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'выпуск-возврат'!$D$5:$D$8</c:f>
              <c:numCache>
                <c:ptCount val="4"/>
                <c:pt idx="0">
                  <c:v>5.333333333333334</c:v>
                </c:pt>
                <c:pt idx="1">
                  <c:v>6.559104938271606</c:v>
                </c:pt>
                <c:pt idx="2">
                  <c:v>8.185185185185185</c:v>
                </c:pt>
                <c:pt idx="3">
                  <c:v>6.959413580246913</c:v>
                </c:pt>
              </c:numCache>
            </c:numRef>
          </c:xVal>
          <c:yVal>
            <c:numRef>
              <c:f>'выпуск-возврат'!$D$10:$D$13</c:f>
              <c:numCache>
                <c:ptCount val="4"/>
                <c:pt idx="0">
                  <c:v>6</c:v>
                </c:pt>
                <c:pt idx="1">
                  <c:v>12</c:v>
                </c:pt>
                <c:pt idx="2">
                  <c:v>12</c:v>
                </c:pt>
                <c:pt idx="3">
                  <c:v>6</c:v>
                </c:pt>
              </c:numCache>
            </c:numRef>
          </c:y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'выпуск-возврат'!$E$5:$E$8</c:f>
              <c:numCache>
                <c:ptCount val="4"/>
                <c:pt idx="0">
                  <c:v>5.500000000000001</c:v>
                </c:pt>
                <c:pt idx="1">
                  <c:v>6.337777777777779</c:v>
                </c:pt>
                <c:pt idx="2">
                  <c:v>9.365432098765432</c:v>
                </c:pt>
                <c:pt idx="3">
                  <c:v>8.527654320987654</c:v>
                </c:pt>
              </c:numCache>
            </c:numRef>
          </c:xVal>
          <c:yVal>
            <c:numRef>
              <c:f>'выпуск-возврат'!$E$10:$E$13</c:f>
              <c:numCache>
                <c:ptCount val="4"/>
                <c:pt idx="0">
                  <c:v>12</c:v>
                </c:pt>
                <c:pt idx="1">
                  <c:v>14</c:v>
                </c:pt>
                <c:pt idx="2">
                  <c:v>14</c:v>
                </c:pt>
                <c:pt idx="3">
                  <c:v>12</c:v>
                </c:pt>
              </c:numCache>
            </c:numRef>
          </c:y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'выпуск-возврат'!$F$5:$F$8</c:f>
              <c:numCache>
                <c:ptCount val="4"/>
                <c:pt idx="0">
                  <c:v>5.666666666666668</c:v>
                </c:pt>
                <c:pt idx="1">
                  <c:v>6.797519494949496</c:v>
                </c:pt>
                <c:pt idx="2">
                  <c:v>15.78989898989899</c:v>
                </c:pt>
                <c:pt idx="3">
                  <c:v>14.659046161616162</c:v>
                </c:pt>
              </c:numCache>
            </c:numRef>
          </c:xVal>
          <c:yVal>
            <c:numRef>
              <c:f>'выпуск-возврат'!$F$10:$F$13</c:f>
              <c:numCache>
                <c:ptCount val="4"/>
                <c:pt idx="0">
                  <c:v>14</c:v>
                </c:pt>
                <c:pt idx="1">
                  <c:v>17</c:v>
                </c:pt>
                <c:pt idx="2">
                  <c:v>17</c:v>
                </c:pt>
                <c:pt idx="3">
                  <c:v>14</c:v>
                </c:pt>
              </c:numCache>
            </c:numRef>
          </c:y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'выпуск-возврат'!$G$5:$G$8</c:f>
              <c:numCache>
                <c:ptCount val="4"/>
                <c:pt idx="0">
                  <c:v>5.833333333333335</c:v>
                </c:pt>
                <c:pt idx="1">
                  <c:v>6.7616102067183474</c:v>
                </c:pt>
                <c:pt idx="2">
                  <c:v>16.303030303030305</c:v>
                </c:pt>
                <c:pt idx="3">
                  <c:v>15.374753429645292</c:v>
                </c:pt>
              </c:numCache>
            </c:numRef>
          </c:xVal>
          <c:yVal>
            <c:numRef>
              <c:f>'выпуск-возврат'!$G$10:$G$13</c:f>
              <c:numCache>
                <c:ptCount val="4"/>
                <c:pt idx="0">
                  <c:v>17</c:v>
                </c:pt>
                <c:pt idx="1">
                  <c:v>21</c:v>
                </c:pt>
                <c:pt idx="2">
                  <c:v>21</c:v>
                </c:pt>
                <c:pt idx="3">
                  <c:v>17</c:v>
                </c:pt>
              </c:numCache>
            </c:numRef>
          </c:yVal>
          <c:smooth val="0"/>
        </c:ser>
        <c:axId val="34341084"/>
        <c:axId val="40634301"/>
      </c:scatterChart>
      <c:valAx>
        <c:axId val="34341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634301"/>
        <c:crosses val="autoZero"/>
        <c:crossBetween val="midCat"/>
        <c:dispUnits/>
      </c:valAx>
      <c:valAx>
        <c:axId val="406343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crossAx val="34341084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87705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87705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509"/>
  <sheetViews>
    <sheetView workbookViewId="0" topLeftCell="A1">
      <selection activeCell="F6" sqref="F6"/>
    </sheetView>
  </sheetViews>
  <sheetFormatPr defaultColWidth="9.00390625" defaultRowHeight="12.75"/>
  <cols>
    <col min="1" max="1" width="10.375" style="0" customWidth="1"/>
    <col min="2" max="2" width="12.125" style="0" customWidth="1"/>
    <col min="9" max="9" width="6.125" style="0" customWidth="1"/>
    <col min="11" max="11" width="13.125" style="0" customWidth="1"/>
  </cols>
  <sheetData>
    <row r="1" spans="1:140" ht="12.75">
      <c r="A1" s="2"/>
      <c r="B1" s="2" t="s">
        <v>8</v>
      </c>
      <c r="C1" s="2">
        <v>24000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</row>
    <row r="2" spans="1:140" ht="12.75">
      <c r="A2" s="2"/>
      <c r="B2" s="2" t="s">
        <v>9</v>
      </c>
      <c r="C2" s="2">
        <v>22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</row>
    <row r="3" spans="1:140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</row>
    <row r="4" spans="1:140" ht="12.75">
      <c r="A4" s="2"/>
      <c r="B4" s="2" t="s">
        <v>0</v>
      </c>
      <c r="C4" s="2" t="s">
        <v>1</v>
      </c>
      <c r="D4" s="2" t="s">
        <v>2</v>
      </c>
      <c r="E4" s="2" t="s">
        <v>10</v>
      </c>
      <c r="F4" s="2" t="s">
        <v>3</v>
      </c>
      <c r="G4" s="2" t="s">
        <v>4</v>
      </c>
      <c r="H4" s="2" t="s">
        <v>5</v>
      </c>
      <c r="I4" s="1" t="s">
        <v>7</v>
      </c>
      <c r="J4" s="2" t="s">
        <v>6</v>
      </c>
      <c r="K4" s="2" t="s">
        <v>12</v>
      </c>
      <c r="L4" s="2" t="s">
        <v>11</v>
      </c>
      <c r="M4" s="2" t="s">
        <v>19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</row>
    <row r="5" spans="1:140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</row>
    <row r="6" spans="1:140" ht="12.75">
      <c r="A6" s="4" t="s">
        <v>13</v>
      </c>
      <c r="B6" s="4" t="s">
        <v>15</v>
      </c>
      <c r="C6" s="4">
        <v>14</v>
      </c>
      <c r="D6" s="4">
        <f>2*(12+2*(9-1))/60</f>
        <v>0.9333333333333333</v>
      </c>
      <c r="E6" s="4">
        <v>54</v>
      </c>
      <c r="F6" s="4">
        <f>C6*I6+J6+0.1</f>
        <v>20.730000000000004</v>
      </c>
      <c r="G6" s="4">
        <v>40</v>
      </c>
      <c r="H6" s="4">
        <f>I6*C6*0.5*E6/($C$2+D6*E6*0.5)</f>
        <v>4.805084745762712</v>
      </c>
      <c r="I6" s="4">
        <v>0.6</v>
      </c>
      <c r="J6" s="2">
        <v>12.23</v>
      </c>
      <c r="L6" s="2">
        <v>23.5</v>
      </c>
      <c r="M6" s="2">
        <v>4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</row>
    <row r="7" spans="1:140" ht="12.75">
      <c r="A7" s="4" t="s">
        <v>14</v>
      </c>
      <c r="B7" s="4" t="s">
        <v>29</v>
      </c>
      <c r="C7" s="4">
        <f>14+10.5</f>
        <v>24.5</v>
      </c>
      <c r="D7" s="4">
        <f>2*(12+2*(15-1))/60</f>
        <v>1.3333333333333333</v>
      </c>
      <c r="E7" s="4">
        <v>54</v>
      </c>
      <c r="F7" s="4">
        <f>C7*I7+J7+K7+0.1</f>
        <v>30.53</v>
      </c>
      <c r="G7" s="4">
        <v>40</v>
      </c>
      <c r="H7" s="4">
        <f>I7*C7*0.5*E7/($C$2+D7*E7*0.5)</f>
        <v>6.843103448275862</v>
      </c>
      <c r="I7" s="4">
        <v>0.6</v>
      </c>
      <c r="J7" s="2">
        <v>12.23</v>
      </c>
      <c r="K7" s="2">
        <v>3.5</v>
      </c>
      <c r="L7" s="2">
        <v>23.5</v>
      </c>
      <c r="M7" s="2">
        <v>3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</row>
    <row r="8" spans="1:140" ht="12.75">
      <c r="A8" s="4" t="s">
        <v>16</v>
      </c>
      <c r="B8" s="4" t="s">
        <v>18</v>
      </c>
      <c r="C8" s="4">
        <v>30</v>
      </c>
      <c r="D8" s="4">
        <f>2*(12)/60</f>
        <v>0.4</v>
      </c>
      <c r="E8" s="4">
        <v>48</v>
      </c>
      <c r="F8" s="4">
        <f>C8*I8+J8+K8+0.1</f>
        <v>30.650000000000002</v>
      </c>
      <c r="G8" s="4">
        <v>40</v>
      </c>
      <c r="H8" s="4">
        <f>I8*C8*0.5*E8/($C$2+D8*E8*0.5)</f>
        <v>13.670886075949367</v>
      </c>
      <c r="I8" s="4">
        <v>0.6</v>
      </c>
      <c r="J8" s="2">
        <v>7.05</v>
      </c>
      <c r="K8" s="2">
        <v>5.5</v>
      </c>
      <c r="L8" s="2">
        <v>40</v>
      </c>
      <c r="M8" s="2">
        <v>1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</row>
    <row r="9" spans="1:140" ht="12.75">
      <c r="A9" s="4" t="s">
        <v>17</v>
      </c>
      <c r="B9" s="4" t="s">
        <v>18</v>
      </c>
      <c r="C9" s="4">
        <v>30</v>
      </c>
      <c r="D9" s="4">
        <f>2*30/60</f>
        <v>1</v>
      </c>
      <c r="E9" s="4">
        <v>48</v>
      </c>
      <c r="F9" s="4">
        <f>C9*I9+J9+K9+0.1</f>
        <v>30.650000000000002</v>
      </c>
      <c r="G9" s="4">
        <v>40</v>
      </c>
      <c r="H9" s="4">
        <f>I9*C9*0.5*E9/($C$2+D9*E9*0.5)</f>
        <v>9.391304347826088</v>
      </c>
      <c r="I9" s="4">
        <v>0.6</v>
      </c>
      <c r="J9" s="2">
        <v>7.05</v>
      </c>
      <c r="K9" s="2">
        <v>5.5</v>
      </c>
      <c r="L9" s="2">
        <v>40</v>
      </c>
      <c r="M9" s="2">
        <v>2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</row>
    <row r="10" spans="1:140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</row>
    <row r="11" spans="1:140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</row>
    <row r="12" spans="2:140" ht="12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</row>
    <row r="13" spans="2:140" ht="12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</row>
    <row r="14" spans="2:140" ht="12.7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</row>
    <row r="15" spans="1:140" ht="12.75">
      <c r="A15" t="s">
        <v>37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</row>
    <row r="16" spans="2:140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</row>
    <row r="17" spans="1:140" ht="12.75">
      <c r="A17" t="s">
        <v>40</v>
      </c>
      <c r="B17" s="2" t="s">
        <v>38</v>
      </c>
      <c r="C17" s="2" t="s">
        <v>39</v>
      </c>
      <c r="D17" s="2" t="s">
        <v>5</v>
      </c>
      <c r="E17" s="2" t="s">
        <v>41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</row>
    <row r="18" spans="1:140" ht="12.75">
      <c r="A18">
        <f>C1</f>
        <v>24000</v>
      </c>
      <c r="B18" s="2">
        <v>250</v>
      </c>
      <c r="C18" s="2">
        <v>8</v>
      </c>
      <c r="D18" s="2">
        <f>H8</f>
        <v>13.670886075949367</v>
      </c>
      <c r="E18" s="2">
        <f>A18/1000/2/D18</f>
        <v>0.8777777777777778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</row>
    <row r="19" spans="2:140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</row>
    <row r="20" spans="2:140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</row>
    <row r="21" spans="2:140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</row>
    <row r="22" spans="2:140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</row>
    <row r="23" spans="2:140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</row>
    <row r="24" spans="2:140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</row>
    <row r="25" spans="2:140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</row>
    <row r="26" spans="2:140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</row>
    <row r="27" spans="2:140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</row>
    <row r="28" spans="2:140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</row>
    <row r="29" spans="2:140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</row>
    <row r="30" spans="2:140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</row>
    <row r="31" spans="2:140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</row>
    <row r="32" spans="2:140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</row>
    <row r="33" spans="2:140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</row>
    <row r="34" spans="2:140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</row>
    <row r="35" spans="2:140" ht="12.75">
      <c r="B35" s="2"/>
      <c r="C35" s="2"/>
      <c r="D35" s="2"/>
      <c r="E35" s="2">
        <v>24</v>
      </c>
      <c r="F35" s="2">
        <v>4.2</v>
      </c>
      <c r="G35" s="2">
        <v>22</v>
      </c>
      <c r="H35" s="2">
        <f>E35*G35</f>
        <v>528</v>
      </c>
      <c r="I35" s="2">
        <f>H35/$H$41*100</f>
        <v>4.2560051587941325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</row>
    <row r="36" spans="2:140" ht="12.75">
      <c r="B36" s="2"/>
      <c r="C36" s="2"/>
      <c r="D36" s="2"/>
      <c r="E36" s="2">
        <v>130</v>
      </c>
      <c r="F36" s="2">
        <v>22.9</v>
      </c>
      <c r="G36" s="2">
        <v>33</v>
      </c>
      <c r="H36" s="2">
        <f>E36*G36</f>
        <v>4290</v>
      </c>
      <c r="I36" s="2">
        <f>H36/$H$41*100</f>
        <v>34.58004191520232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</row>
    <row r="37" spans="2:140" ht="12.75">
      <c r="B37" s="2"/>
      <c r="C37" s="2"/>
      <c r="D37" s="2"/>
      <c r="E37" s="2">
        <v>80</v>
      </c>
      <c r="F37" s="2">
        <v>14.1</v>
      </c>
      <c r="G37" s="2">
        <v>13</v>
      </c>
      <c r="H37" s="2">
        <f>E37*G37</f>
        <v>1040</v>
      </c>
      <c r="I37" s="2">
        <f>H37/$H$41*100</f>
        <v>8.383040464291472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</row>
    <row r="38" spans="2:140" ht="12.75">
      <c r="B38" s="2"/>
      <c r="C38" s="2"/>
      <c r="D38" s="2"/>
      <c r="E38" s="2">
        <v>12</v>
      </c>
      <c r="F38" s="2">
        <v>2</v>
      </c>
      <c r="G38" s="2">
        <v>39</v>
      </c>
      <c r="H38" s="2">
        <f>E38*G38</f>
        <v>468</v>
      </c>
      <c r="I38" s="2">
        <f>H38/$H$41*100</f>
        <v>3.7723682089311623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</row>
    <row r="39" spans="2:140" ht="12.75">
      <c r="B39" s="2"/>
      <c r="C39" s="2"/>
      <c r="D39" s="2"/>
      <c r="E39" s="2">
        <v>40</v>
      </c>
      <c r="F39" s="2">
        <v>7</v>
      </c>
      <c r="G39" s="2">
        <v>12</v>
      </c>
      <c r="H39" s="2">
        <f>E39*G39</f>
        <v>480</v>
      </c>
      <c r="I39" s="2">
        <f>H39/$H$41*100</f>
        <v>3.869095598903756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</row>
    <row r="40" spans="2:140" ht="12.75">
      <c r="B40" s="2"/>
      <c r="C40" s="2"/>
      <c r="D40" s="2"/>
      <c r="E40" s="2">
        <v>280</v>
      </c>
      <c r="F40" s="2">
        <v>49.46</v>
      </c>
      <c r="G40" s="2">
        <v>20</v>
      </c>
      <c r="H40" s="2">
        <f>E40*G40</f>
        <v>5600</v>
      </c>
      <c r="I40" s="2">
        <f>H40/$H$41*100</f>
        <v>45.13944865387715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</row>
    <row r="41" spans="2:140" ht="12.75">
      <c r="B41" s="2"/>
      <c r="C41" s="2"/>
      <c r="D41" s="2"/>
      <c r="E41" s="2">
        <v>566</v>
      </c>
      <c r="F41" s="2"/>
      <c r="G41" s="2">
        <v>139</v>
      </c>
      <c r="H41" s="2">
        <f>SUM(H35:H40)</f>
        <v>12406</v>
      </c>
      <c r="I41" s="2">
        <f>H41/$H$41*100</f>
        <v>100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</row>
    <row r="42" spans="2:140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</row>
    <row r="43" spans="2:140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</row>
    <row r="44" spans="2:140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</row>
    <row r="45" spans="2:140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</row>
    <row r="46" spans="2:140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</row>
    <row r="47" spans="2:140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</row>
    <row r="48" spans="2:140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</row>
    <row r="49" spans="2:140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</row>
    <row r="50" spans="2:140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</row>
    <row r="51" spans="2:140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</row>
    <row r="52" spans="2:140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</row>
    <row r="53" spans="2:140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</row>
    <row r="54" spans="2:140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</row>
    <row r="55" spans="2:140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</row>
    <row r="56" spans="2:140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</row>
    <row r="57" spans="2:140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</row>
    <row r="58" spans="2:140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</row>
    <row r="59" spans="2:140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</row>
    <row r="60" spans="2:140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</row>
    <row r="61" spans="2:140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</row>
    <row r="62" spans="2:140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</row>
    <row r="63" spans="2:140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</row>
    <row r="64" spans="2:140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</row>
    <row r="65" spans="2:140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</row>
    <row r="66" spans="2:140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</row>
    <row r="67" spans="2:140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</row>
    <row r="68" spans="2:140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</row>
    <row r="69" spans="2:140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</row>
    <row r="70" spans="2:140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</row>
    <row r="71" spans="2:140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</row>
    <row r="72" spans="2:140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</row>
    <row r="73" spans="2:140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</row>
    <row r="74" spans="2:140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</row>
    <row r="75" spans="2:140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</row>
    <row r="76" spans="2:140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</row>
    <row r="77" spans="2:140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</row>
    <row r="78" spans="2:140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</row>
    <row r="79" spans="2:140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</row>
    <row r="80" spans="2:140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</row>
    <row r="81" spans="2:140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</row>
    <row r="82" spans="2:140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</row>
    <row r="83" spans="2:140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</row>
    <row r="84" spans="2:140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</row>
    <row r="85" spans="2:140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</row>
    <row r="86" spans="2:140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</row>
    <row r="87" spans="2:140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</row>
    <row r="88" spans="2:140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</row>
    <row r="89" spans="2:140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</row>
    <row r="90" spans="2:140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</row>
    <row r="91" spans="2:140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</row>
    <row r="92" spans="2:140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</row>
    <row r="93" spans="2:140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</row>
    <row r="94" spans="2:140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</row>
    <row r="95" spans="2:140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</row>
    <row r="96" spans="2:140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</row>
    <row r="97" spans="2:140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</row>
    <row r="98" spans="2:140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</row>
    <row r="99" spans="2:140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</row>
    <row r="100" spans="2:140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</row>
    <row r="101" spans="2:140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</row>
    <row r="102" spans="2:140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</row>
    <row r="103" spans="2:140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</row>
    <row r="104" spans="2:140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</row>
    <row r="105" spans="2:140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</row>
    <row r="106" spans="2:140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</row>
    <row r="107" spans="2:140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</row>
    <row r="108" spans="2:140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</row>
    <row r="109" spans="2:140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</row>
    <row r="110" spans="2:140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</row>
    <row r="111" spans="2:140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</row>
    <row r="112" spans="2:140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</row>
    <row r="113" spans="2:140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</row>
    <row r="114" spans="2:140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</row>
    <row r="115" spans="2:140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</row>
    <row r="116" spans="2:140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</row>
    <row r="117" spans="2:140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</row>
    <row r="118" spans="2:140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</row>
    <row r="119" spans="2:140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</row>
    <row r="120" spans="2:140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</row>
    <row r="121" spans="2:140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</row>
    <row r="122" spans="2:140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</row>
    <row r="123" spans="2:140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</row>
    <row r="124" spans="2:140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</row>
    <row r="125" spans="2:140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</row>
    <row r="126" spans="2:140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</row>
    <row r="127" spans="2:140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</row>
    <row r="128" spans="2:140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</row>
    <row r="129" spans="2:140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</row>
    <row r="130" spans="2:140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</row>
    <row r="131" spans="2:140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</row>
    <row r="132" spans="2:140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</row>
    <row r="133" spans="2:140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</row>
    <row r="134" spans="2:140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</row>
    <row r="135" spans="2:140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</row>
    <row r="136" spans="2:140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</row>
    <row r="137" spans="2:140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</row>
    <row r="138" spans="2:140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</row>
    <row r="139" spans="2:140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</row>
    <row r="140" spans="2:140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</row>
    <row r="141" spans="2:140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</row>
    <row r="142" spans="2:140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</row>
    <row r="143" spans="2:140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</row>
    <row r="144" spans="2:140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</row>
    <row r="145" spans="2:140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</row>
    <row r="146" spans="2:140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</row>
    <row r="147" spans="2:140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</row>
    <row r="148" spans="2:140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</row>
    <row r="149" spans="2:140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</row>
    <row r="150" spans="2:140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</row>
    <row r="151" spans="2:140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</row>
    <row r="152" spans="2:140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</row>
    <row r="153" spans="2:140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</row>
    <row r="154" spans="2:140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</row>
    <row r="155" spans="2:140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</row>
    <row r="156" spans="2:140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</row>
    <row r="157" spans="2:140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</row>
    <row r="158" spans="2:140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</row>
    <row r="159" spans="2:140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</row>
    <row r="160" spans="2:140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</row>
    <row r="161" spans="2:140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</row>
    <row r="162" spans="2:140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</row>
    <row r="163" spans="2:140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</row>
    <row r="164" spans="2:140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</row>
    <row r="165" spans="2:140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</row>
    <row r="166" spans="2:140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</row>
    <row r="167" spans="2:140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</row>
    <row r="168" spans="2:140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</row>
    <row r="169" spans="2:140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</row>
    <row r="170" spans="2:140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</row>
    <row r="171" spans="2:140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</row>
    <row r="172" spans="2:140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</row>
    <row r="173" spans="2:140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</row>
    <row r="174" spans="2:140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</row>
    <row r="175" spans="2:140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</row>
    <row r="176" spans="2:140" ht="12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</row>
    <row r="177" spans="2:140" ht="12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</row>
    <row r="178" spans="2:140" ht="12.7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</row>
    <row r="179" spans="2:140" ht="12.7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</row>
    <row r="180" spans="2:140" ht="12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</row>
    <row r="181" spans="2:140" ht="12.7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</row>
    <row r="182" spans="2:140" ht="12.7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</row>
    <row r="183" spans="2:140" ht="12.7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</row>
    <row r="184" spans="2:140" ht="12.7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</row>
    <row r="185" spans="2:140" ht="12.7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</row>
    <row r="186" spans="2:140" ht="12.7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</row>
    <row r="187" spans="2:140" ht="12.7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</row>
    <row r="188" spans="2:140" ht="12.7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</row>
    <row r="189" spans="2:140" ht="12.7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</row>
    <row r="190" spans="2:140" ht="12.7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</row>
    <row r="191" spans="2:140" ht="12.7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</row>
    <row r="192" spans="2:140" ht="12.7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</row>
    <row r="193" spans="2:140" ht="12.7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</row>
    <row r="194" spans="2:140" ht="12.7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</row>
    <row r="195" spans="2:140" ht="12.7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</row>
    <row r="196" spans="2:140" ht="12.7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</row>
    <row r="197" spans="2:140" ht="12.7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</row>
    <row r="198" spans="2:140" ht="12.7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</row>
    <row r="199" spans="2:140" ht="12.7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</row>
    <row r="200" spans="2:140" ht="12.7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</row>
    <row r="201" spans="2:140" ht="12.7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</row>
    <row r="202" spans="2:140" ht="12.7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</row>
    <row r="203" spans="2:140" ht="12.7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</row>
    <row r="204" spans="2:140" ht="12.7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</row>
    <row r="205" spans="2:140" ht="12.7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</row>
    <row r="206" spans="2:140" ht="12.7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</row>
    <row r="207" spans="2:140" ht="12.7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</row>
    <row r="208" spans="2:140" ht="12.7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</row>
    <row r="209" spans="2:140" ht="12.7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</row>
    <row r="210" spans="2:140" ht="12.7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</row>
    <row r="211" spans="2:140" ht="12.7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</row>
    <row r="212" spans="2:140" ht="12.7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</row>
    <row r="213" spans="2:140" ht="12.7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</row>
    <row r="214" spans="2:140" ht="12.7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</row>
    <row r="215" spans="2:140" ht="12.7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</row>
    <row r="216" spans="2:140" ht="12.7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</row>
    <row r="217" spans="2:140" ht="12.7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</row>
    <row r="218" spans="2:140" ht="12.7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</row>
    <row r="219" spans="2:140" ht="12.7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</row>
    <row r="220" spans="2:140" ht="12.7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</row>
    <row r="221" spans="2:140" ht="12.7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</row>
    <row r="222" spans="2:140" ht="12.7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</row>
    <row r="223" spans="2:140" ht="12.7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</row>
    <row r="224" spans="2:140" ht="12.7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</row>
    <row r="225" spans="2:140" ht="12.7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</row>
    <row r="226" spans="2:140" ht="12.7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</row>
    <row r="227" spans="2:140" ht="12.7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</row>
    <row r="228" spans="2:140" ht="12.7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</row>
    <row r="229" spans="2:140" ht="12.7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</row>
    <row r="230" spans="2:140" ht="12.7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</row>
    <row r="231" spans="2:140" ht="12.7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</row>
    <row r="232" spans="2:140" ht="12.7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</row>
    <row r="233" spans="2:140" ht="12.7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</row>
    <row r="234" spans="2:140" ht="12.7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</row>
    <row r="235" spans="2:140" ht="12.7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</row>
    <row r="236" spans="2:140" ht="12.7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</row>
    <row r="237" spans="2:140" ht="12.7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</row>
    <row r="238" spans="2:140" ht="12.7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</row>
    <row r="239" spans="2:140" ht="12.7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</row>
    <row r="240" spans="2:140" ht="12.7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</row>
    <row r="241" spans="2:140" ht="12.7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</row>
    <row r="242" spans="2:140" ht="12.7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</row>
    <row r="243" spans="2:140" ht="12.7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</row>
    <row r="244" spans="2:140" ht="12.7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</row>
    <row r="245" spans="2:140" ht="12.7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</row>
    <row r="246" spans="2:140" ht="12.7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</row>
    <row r="247" spans="2:140" ht="12.7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</row>
    <row r="248" spans="2:140" ht="12.7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</row>
    <row r="249" spans="2:140" ht="12.7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</row>
    <row r="250" spans="2:140" ht="12.7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</row>
    <row r="251" spans="2:140" ht="12.7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</row>
    <row r="252" spans="2:140" ht="12.7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</row>
    <row r="253" spans="2:140" ht="12.7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</row>
    <row r="254" spans="2:140" ht="12.7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</row>
    <row r="255" spans="2:140" ht="12.7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</row>
    <row r="256" spans="2:140" ht="12.7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</row>
    <row r="257" spans="2:140" ht="12.7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</row>
    <row r="258" spans="2:140" ht="12.7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</row>
    <row r="259" spans="2:140" ht="12.7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</row>
    <row r="260" spans="2:140" ht="12.7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</row>
    <row r="261" spans="2:140" ht="12.7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</row>
    <row r="262" spans="2:140" ht="12.7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</row>
    <row r="263" spans="2:140" ht="12.7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</row>
    <row r="264" spans="2:140" ht="12.7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</row>
    <row r="265" spans="2:140" ht="12.7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</row>
    <row r="266" spans="2:140" ht="12.7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</row>
    <row r="267" spans="2:140" ht="12.7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</row>
    <row r="268" spans="2:140" ht="12.7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</row>
    <row r="269" spans="2:140" ht="12.7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</row>
    <row r="270" spans="2:140" ht="12.7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</row>
    <row r="271" spans="2:140" ht="12.7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</row>
    <row r="272" spans="2:140" ht="12.7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</row>
    <row r="273" spans="2:140" ht="12.7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</row>
    <row r="274" spans="2:140" ht="12.7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</row>
    <row r="275" spans="2:140" ht="12.7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</row>
    <row r="276" spans="2:140" ht="12.7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</row>
    <row r="277" spans="2:140" ht="12.7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</row>
    <row r="278" spans="2:140" ht="12.7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</row>
    <row r="279" spans="2:140" ht="12.7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</row>
    <row r="280" spans="2:140" ht="12.7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</row>
    <row r="281" spans="2:140" ht="12.7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</row>
    <row r="282" spans="2:140" ht="12.7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</row>
    <row r="283" spans="2:140" ht="12.7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</row>
    <row r="284" spans="2:140" ht="12.7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</row>
    <row r="285" spans="2:140" ht="12.7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</row>
    <row r="286" spans="2:140" ht="12.7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</row>
    <row r="287" spans="2:140" ht="12.7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</row>
    <row r="288" spans="2:140" ht="12.7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</row>
    <row r="289" spans="2:140" ht="12.7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</row>
    <row r="290" spans="2:140" ht="12.7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</row>
    <row r="291" spans="2:140" ht="12.7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</row>
    <row r="292" spans="2:140" ht="12.7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</row>
    <row r="293" spans="2:140" ht="12.7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</row>
    <row r="294" spans="2:140" ht="12.7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</row>
    <row r="295" spans="2:140" ht="12.7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</row>
    <row r="296" spans="2:140" ht="12.7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</row>
    <row r="297" spans="2:140" ht="12.7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</row>
    <row r="298" spans="2:140" ht="12.7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</row>
    <row r="299" spans="2:140" ht="12.7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</row>
    <row r="300" spans="2:140" ht="12.7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</row>
    <row r="301" spans="2:140" ht="12.7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</row>
    <row r="302" spans="2:140" ht="12.7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</row>
    <row r="303" spans="2:140" ht="12.7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</row>
    <row r="304" spans="2:140" ht="12.7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</row>
    <row r="305" spans="2:140" ht="12.7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</row>
    <row r="306" spans="2:140" ht="12.7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</row>
    <row r="307" spans="2:140" ht="12.7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</row>
    <row r="308" spans="2:140" ht="12.7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</row>
    <row r="309" spans="2:140" ht="12.7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</row>
    <row r="310" spans="2:140" ht="12.7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</row>
    <row r="311" spans="2:140" ht="12.7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</row>
    <row r="312" spans="2:140" ht="12.7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</row>
    <row r="313" spans="2:140" ht="12.7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</row>
    <row r="314" spans="2:140" ht="12.7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</row>
    <row r="315" spans="2:140" ht="12.7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</row>
    <row r="316" spans="2:140" ht="12.7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</row>
    <row r="317" spans="2:140" ht="12.7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</row>
    <row r="318" spans="2:140" ht="12.7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</row>
    <row r="319" spans="2:140" ht="12.7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</row>
    <row r="320" spans="2:140" ht="12.7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</row>
    <row r="321" spans="2:140" ht="12.7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</row>
    <row r="322" spans="2:140" ht="12.7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</row>
    <row r="323" spans="2:140" ht="12.7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</row>
    <row r="324" spans="2:140" ht="12.7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</row>
    <row r="325" spans="2:140" ht="12.7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</row>
    <row r="326" spans="2:140" ht="12.7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</row>
    <row r="327" spans="2:140" ht="12.7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</row>
    <row r="328" spans="2:140" ht="12.7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</row>
    <row r="329" spans="2:140" ht="12.7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</row>
    <row r="330" spans="2:140" ht="12.7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</row>
    <row r="331" spans="2:140" ht="12.7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</row>
    <row r="332" spans="2:140" ht="12.7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</row>
    <row r="333" spans="2:140" ht="12.7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</row>
    <row r="334" spans="2:140" ht="12.7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</row>
    <row r="335" spans="2:140" ht="12.7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</row>
    <row r="336" spans="2:140" ht="12.7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</row>
    <row r="337" spans="2:140" ht="12.7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</row>
    <row r="338" spans="2:140" ht="12.7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</row>
    <row r="339" spans="2:140" ht="12.7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</row>
    <row r="340" spans="2:140" ht="12.7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</row>
    <row r="341" spans="2:140" ht="12.7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</row>
    <row r="342" spans="2:140" ht="12.7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</row>
    <row r="343" spans="2:140" ht="12.7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</row>
    <row r="344" spans="2:140" ht="12.7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</row>
    <row r="345" spans="2:140" ht="12.7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</row>
    <row r="346" spans="2:140" ht="12.7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</row>
    <row r="347" spans="2:140" ht="12.7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</row>
    <row r="348" spans="2:140" ht="12.7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</row>
    <row r="349" spans="2:140" ht="12.7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</row>
    <row r="350" spans="2:140" ht="12.7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</row>
    <row r="351" spans="2:140" ht="12.7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</row>
    <row r="352" spans="2:140" ht="12.7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</row>
    <row r="353" spans="2:140" ht="12.7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</row>
    <row r="354" spans="2:140" ht="12.7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</row>
    <row r="355" spans="2:140" ht="12.7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</row>
    <row r="356" spans="2:140" ht="12.7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</row>
    <row r="357" spans="2:140" ht="12.7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</row>
    <row r="358" spans="2:140" ht="12.7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</row>
    <row r="359" spans="2:140" ht="12.7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</row>
    <row r="360" spans="2:140" ht="12.7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</row>
    <row r="361" spans="2:140" ht="12.7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</row>
    <row r="362" spans="2:140" ht="12.7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</row>
    <row r="363" spans="2:140" ht="12.7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</row>
    <row r="364" spans="2:140" ht="12.7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</row>
    <row r="365" spans="2:140" ht="12.7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</row>
    <row r="366" spans="2:140" ht="12.7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</row>
    <row r="367" spans="2:140" ht="12.7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</row>
    <row r="368" spans="2:140" ht="12.7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</row>
    <row r="369" spans="2:140" ht="12.7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</row>
    <row r="370" spans="2:140" ht="12.7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</row>
    <row r="371" spans="2:140" ht="12.7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</row>
    <row r="372" spans="2:140" ht="12.7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</row>
    <row r="373" spans="2:140" ht="12.7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</row>
    <row r="374" spans="2:140" ht="12.7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</row>
    <row r="375" spans="2:140" ht="12.7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</row>
    <row r="376" spans="2:140" ht="12.7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</row>
    <row r="377" spans="2:140" ht="12.7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</row>
    <row r="378" spans="2:140" ht="12.7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</row>
    <row r="379" spans="2:140" ht="12.7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</row>
    <row r="380" spans="2:140" ht="12.7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</row>
    <row r="381" spans="2:140" ht="12.7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</row>
    <row r="382" spans="2:140" ht="12.7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</row>
    <row r="383" spans="2:140" ht="12.7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</row>
    <row r="384" spans="2:140" ht="12.7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</row>
    <row r="385" spans="2:140" ht="12.7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</row>
    <row r="386" spans="2:140" ht="12.7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</row>
    <row r="387" spans="2:140" ht="12.7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</row>
    <row r="388" spans="2:140" ht="12.7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</row>
    <row r="389" spans="2:140" ht="12.7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</row>
    <row r="390" spans="2:140" ht="12.7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</row>
    <row r="391" spans="2:140" ht="12.7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</row>
    <row r="392" spans="2:140" ht="12.7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</row>
    <row r="393" spans="2:140" ht="12.7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</row>
    <row r="394" spans="2:140" ht="12.7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</row>
    <row r="395" spans="2:140" ht="12.7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</row>
    <row r="396" spans="2:140" ht="12.7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</row>
    <row r="397" spans="2:140" ht="12.7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</row>
    <row r="398" spans="2:140" ht="12.7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</row>
    <row r="399" spans="2:140" ht="12.7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</row>
    <row r="400" spans="2:140" ht="12.7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</row>
    <row r="401" spans="2:140" ht="12.7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</row>
    <row r="402" spans="2:140" ht="12.7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</row>
    <row r="403" spans="2:140" ht="12.7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</row>
    <row r="404" spans="2:140" ht="12.7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</row>
    <row r="405" spans="2:140" ht="12.7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</row>
    <row r="406" spans="2:140" ht="12.7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</row>
    <row r="407" spans="2:140" ht="12.7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</row>
    <row r="408" spans="2:140" ht="12.7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</row>
    <row r="409" spans="2:140" ht="12.7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</row>
    <row r="410" spans="2:140" ht="12.7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</row>
    <row r="411" spans="2:140" ht="12.7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</row>
    <row r="412" spans="2:140" ht="12.7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</row>
    <row r="413" spans="2:140" ht="12.7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</row>
    <row r="414" spans="2:140" ht="12.7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</row>
    <row r="415" spans="2:140" ht="12.7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</row>
    <row r="416" spans="2:140" ht="12.7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</row>
    <row r="417" spans="2:140" ht="12.7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</row>
    <row r="418" spans="2:140" ht="12.7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</row>
    <row r="419" spans="2:140" ht="12.7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</row>
    <row r="420" spans="2:140" ht="12.7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</row>
    <row r="421" spans="2:140" ht="12.7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</row>
    <row r="422" spans="2:140" ht="12.7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</row>
    <row r="423" spans="2:140" ht="12.7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</row>
    <row r="424" spans="2:140" ht="12.7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</row>
    <row r="425" spans="2:140" ht="12.7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</row>
    <row r="426" spans="2:140" ht="12.7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</row>
    <row r="427" spans="2:140" ht="12.7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</row>
    <row r="428" spans="2:140" ht="12.7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</row>
    <row r="429" spans="2:140" ht="12.7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</row>
    <row r="430" spans="2:140" ht="12.7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</row>
    <row r="431" spans="2:140" ht="12.7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</row>
    <row r="432" spans="2:140" ht="12.7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</row>
    <row r="433" spans="2:140" ht="12.7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</row>
    <row r="434" spans="2:140" ht="12.7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</row>
    <row r="435" spans="2:140" ht="12.7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</row>
    <row r="436" spans="2:140" ht="12.7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</row>
    <row r="437" spans="2:140" ht="12.7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</row>
    <row r="438" spans="2:140" ht="12.7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</row>
    <row r="439" spans="2:140" ht="12.7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</row>
    <row r="440" spans="2:140" ht="12.7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</row>
    <row r="441" spans="2:140" ht="12.7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</row>
    <row r="442" spans="2:140" ht="12.7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</row>
    <row r="443" spans="2:140" ht="12.7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</row>
    <row r="444" spans="2:140" ht="12.7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</row>
    <row r="445" spans="2:140" ht="12.7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</row>
    <row r="446" spans="2:140" ht="12.7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</row>
    <row r="447" spans="2:140" ht="12.7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</row>
    <row r="448" spans="2:140" ht="12.7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</row>
    <row r="449" spans="2:140" ht="12.7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</row>
    <row r="450" spans="2:140" ht="12.7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</row>
    <row r="451" spans="2:140" ht="12.7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</row>
    <row r="452" spans="2:140" ht="12.7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</row>
    <row r="453" spans="2:140" ht="12.7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</row>
    <row r="454" spans="2:140" ht="12.7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</row>
    <row r="455" spans="2:140" ht="12.7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</row>
    <row r="456" spans="2:140" ht="12.7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</row>
    <row r="457" spans="2:140" ht="12.7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</row>
    <row r="458" spans="2:140" ht="12.7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</row>
    <row r="459" spans="2:140" ht="12.7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</row>
    <row r="460" spans="2:140" ht="12.7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</row>
    <row r="461" spans="2:140" ht="12.7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</row>
    <row r="462" spans="2:140" ht="12.7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</row>
    <row r="463" spans="2:140" ht="12.7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</row>
    <row r="464" spans="2:140" ht="12.7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</row>
    <row r="465" spans="2:140" ht="12.7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</row>
    <row r="466" spans="2:140" ht="12.7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</row>
    <row r="467" spans="2:140" ht="12.7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</row>
    <row r="468" spans="2:140" ht="12.7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</row>
    <row r="469" spans="2:140" ht="12.7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</row>
    <row r="470" spans="2:140" ht="12.7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</row>
    <row r="471" spans="2:140" ht="12.7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</row>
    <row r="472" spans="2:140" ht="12.7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</row>
    <row r="473" spans="2:140" ht="12.7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</row>
    <row r="474" spans="2:140" ht="12.7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</row>
    <row r="475" spans="2:140" ht="12.7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</row>
    <row r="476" spans="2:140" ht="12.7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</row>
    <row r="477" spans="2:140" ht="12.7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</row>
    <row r="478" spans="2:140" ht="12.7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</row>
    <row r="479" spans="2:140" ht="12.7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</row>
    <row r="480" spans="2:140" ht="12.7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</row>
    <row r="481" spans="2:140" ht="12.7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</row>
    <row r="482" spans="2:140" ht="12.7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</row>
    <row r="483" spans="2:140" ht="12.7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</row>
    <row r="484" spans="2:140" ht="12.7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</row>
    <row r="485" spans="2:140" ht="12.7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</row>
    <row r="486" spans="2:140" ht="12.7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</row>
    <row r="487" spans="2:140" ht="12.7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</row>
    <row r="488" spans="2:140" ht="12.7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</row>
    <row r="489" spans="2:140" ht="12.7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</row>
    <row r="490" spans="2:140" ht="12.7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</row>
    <row r="491" spans="2:140" ht="12.7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</row>
    <row r="492" spans="2:140" ht="12.7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</row>
    <row r="493" spans="2:140" ht="12.7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</row>
    <row r="494" spans="2:140" ht="12.7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</row>
    <row r="495" spans="2:140" ht="12.7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</row>
    <row r="496" spans="2:140" ht="12.7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</row>
    <row r="497" spans="2:140" ht="12.7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</row>
    <row r="498" spans="2:140" ht="12.7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</row>
    <row r="499" spans="2:140" ht="12.7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</row>
    <row r="500" spans="2:140" ht="12.7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</row>
    <row r="501" spans="2:140" ht="12.7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</row>
    <row r="502" spans="2:140" ht="12.7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</row>
    <row r="503" spans="2:140" ht="12.7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</row>
    <row r="504" spans="2:140" ht="12.7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</row>
    <row r="505" spans="2:140" ht="12.7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</row>
    <row r="506" spans="2:140" ht="12.7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</row>
    <row r="507" spans="2:140" ht="12.7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</row>
    <row r="508" spans="2:140" ht="12.7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</row>
    <row r="509" spans="2:140" ht="12.7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4"/>
  <sheetViews>
    <sheetView tabSelected="1" workbookViewId="0" topLeftCell="A41">
      <selection activeCell="E57" sqref="E57"/>
    </sheetView>
  </sheetViews>
  <sheetFormatPr defaultColWidth="9.00390625" defaultRowHeight="12.75"/>
  <cols>
    <col min="1" max="1" width="34.25390625" style="0" customWidth="1"/>
    <col min="2" max="2" width="18.125" style="0" customWidth="1"/>
    <col min="3" max="4" width="11.75390625" style="0" customWidth="1"/>
    <col min="5" max="5" width="11.375" style="0" customWidth="1"/>
  </cols>
  <sheetData>
    <row r="1" spans="1:7" ht="15.75">
      <c r="A1" s="11"/>
      <c r="B1" t="s">
        <v>62</v>
      </c>
      <c r="C1" t="s">
        <v>65</v>
      </c>
      <c r="D1" t="s">
        <v>68</v>
      </c>
      <c r="E1" t="s">
        <v>69</v>
      </c>
      <c r="F1" t="s">
        <v>139</v>
      </c>
      <c r="G1" t="s">
        <v>152</v>
      </c>
    </row>
    <row r="2" spans="1:7" ht="12.75">
      <c r="A2" t="s">
        <v>2</v>
      </c>
      <c r="B2">
        <f>яды!$D$8</f>
        <v>0.4</v>
      </c>
      <c r="C2">
        <f>лес!D6</f>
        <v>1.2666666666666666</v>
      </c>
      <c r="D2">
        <f>станки!D9</f>
        <v>0.8666666666666667</v>
      </c>
      <c r="E2">
        <f>капуста!D9</f>
        <v>0.8666666666666667</v>
      </c>
      <c r="F2">
        <f>2*щебень!D6</f>
        <v>0.8666666666666667</v>
      </c>
      <c r="G2">
        <f>щебень!D6</f>
        <v>0.43333333333333335</v>
      </c>
    </row>
    <row r="3" spans="1:7" ht="12.75">
      <c r="A3" t="s">
        <v>102</v>
      </c>
      <c r="B3">
        <v>1</v>
      </c>
      <c r="C3">
        <v>1</v>
      </c>
      <c r="D3">
        <v>1</v>
      </c>
      <c r="E3">
        <v>1</v>
      </c>
      <c r="F3">
        <v>2</v>
      </c>
      <c r="G3">
        <v>1</v>
      </c>
    </row>
    <row r="4" spans="1:7" ht="12.75">
      <c r="A4" s="7" t="s">
        <v>105</v>
      </c>
      <c r="B4">
        <f aca="true" t="shared" si="0" ref="B4:G4">B2/B3</f>
        <v>0.4</v>
      </c>
      <c r="C4">
        <f t="shared" si="0"/>
        <v>1.2666666666666666</v>
      </c>
      <c r="D4">
        <f t="shared" si="0"/>
        <v>0.8666666666666667</v>
      </c>
      <c r="E4">
        <f t="shared" si="0"/>
        <v>0.8666666666666667</v>
      </c>
      <c r="F4">
        <f t="shared" si="0"/>
        <v>0.43333333333333335</v>
      </c>
      <c r="G4">
        <f t="shared" si="0"/>
        <v>0.43333333333333335</v>
      </c>
    </row>
    <row r="5" spans="1:5" ht="12.75">
      <c r="A5" t="s">
        <v>236</v>
      </c>
      <c r="D5">
        <f>'погр-разгр'!B53/3600</f>
        <v>0.09319444444444444</v>
      </c>
      <c r="E5">
        <f>'погр-разгр'!B69/3600</f>
        <v>0.309375</v>
      </c>
    </row>
    <row r="6" spans="1:7" ht="12.75">
      <c r="A6" t="s">
        <v>131</v>
      </c>
      <c r="B6">
        <f>2*яды!C2/яды!E8+'пок-ли'!B3*'пок-ли'!B4</f>
        <v>1.3166666666666667</v>
      </c>
      <c r="C6">
        <f>2*лес!C2/лес!E6+'пок-ли'!C3*'пок-ли'!C4</f>
        <v>2.7333333333333334</v>
      </c>
      <c r="D6">
        <f>2*станки!C2/станки!E9+'пок-ли'!D3*'пок-ли'!D4</f>
        <v>1.508641975308642</v>
      </c>
      <c r="E6">
        <f>2*капуста!C2/капуста!E9+'пок-ли'!E3*'пок-ли'!E4</f>
        <v>2.7925925925925927</v>
      </c>
      <c r="F6">
        <f>12/55+20/45+20/45+F3*F4</f>
        <v>1.9737373737373738</v>
      </c>
      <c r="G6">
        <f>2*щебень!C2/щебень!E6+'пок-ли'!G3*'пок-ли'!G4</f>
        <v>1.3222222222222222</v>
      </c>
    </row>
    <row r="7" spans="1:7" ht="12.75">
      <c r="A7" t="s">
        <v>132</v>
      </c>
      <c r="B7">
        <f aca="true" t="shared" si="1" ref="B7:G7">B6/B3</f>
        <v>1.3166666666666667</v>
      </c>
      <c r="C7">
        <f t="shared" si="1"/>
        <v>2.7333333333333334</v>
      </c>
      <c r="D7">
        <f t="shared" si="1"/>
        <v>1.508641975308642</v>
      </c>
      <c r="E7">
        <f t="shared" si="1"/>
        <v>2.7925925925925927</v>
      </c>
      <c r="F7">
        <f t="shared" si="1"/>
        <v>0.9868686868686869</v>
      </c>
      <c r="G7">
        <f t="shared" si="1"/>
        <v>1.3222222222222222</v>
      </c>
    </row>
    <row r="8" spans="1:7" ht="12.75">
      <c r="A8" t="s">
        <v>147</v>
      </c>
      <c r="B8" t="s">
        <v>148</v>
      </c>
      <c r="C8" t="s">
        <v>149</v>
      </c>
      <c r="D8" t="s">
        <v>148</v>
      </c>
      <c r="E8" t="s">
        <v>149</v>
      </c>
      <c r="F8" t="s">
        <v>150</v>
      </c>
      <c r="G8" t="s">
        <v>151</v>
      </c>
    </row>
    <row r="9" spans="2:7" ht="12.75">
      <c r="B9">
        <v>13</v>
      </c>
      <c r="C9">
        <v>20</v>
      </c>
      <c r="D9">
        <v>13</v>
      </c>
      <c r="E9">
        <v>20</v>
      </c>
      <c r="F9">
        <v>0</v>
      </c>
      <c r="G9">
        <v>12</v>
      </c>
    </row>
    <row r="10" spans="1:7" ht="12.75">
      <c r="A10" t="s">
        <v>135</v>
      </c>
      <c r="B10">
        <f>2*B9/36</f>
        <v>0.7222222222222222</v>
      </c>
      <c r="C10">
        <f>2*C9/45</f>
        <v>0.8888888888888888</v>
      </c>
      <c r="D10">
        <f>2*D9/40.5</f>
        <v>0.6419753086419753</v>
      </c>
      <c r="E10">
        <f>2*E9/40.5</f>
        <v>0.9876543209876543</v>
      </c>
      <c r="F10">
        <v>0</v>
      </c>
      <c r="G10">
        <f>2*G9/55</f>
        <v>0.43636363636363634</v>
      </c>
    </row>
    <row r="11" spans="1:7" ht="12.75">
      <c r="A11" t="s">
        <v>133</v>
      </c>
      <c r="B11">
        <f>(яды!C18-'пок-ли'!B10)/'пок-ли'!B6</f>
        <v>5.527426160337552</v>
      </c>
      <c r="C11" s="5">
        <f>(лес!C18-'пок-ли'!C10)/'пок-ли'!C6</f>
        <v>5.16260162601626</v>
      </c>
      <c r="D11">
        <f>(станки!C18-'пок-ли'!D10)/'пок-ли'!D6</f>
        <v>4.877250409165303</v>
      </c>
      <c r="E11">
        <f>(капуста!C18-'пок-ли'!E10)/'пок-ли'!E6</f>
        <v>2.5110521662245797</v>
      </c>
      <c r="F11">
        <f>(щебень!C18-'пок-ли'!F10)/'пок-ли'!F6</f>
        <v>7.599795291709314</v>
      </c>
      <c r="G11">
        <f>(щебень!C18-'пок-ли'!G10)/'пок-ли'!G6</f>
        <v>11.014514896867839</v>
      </c>
    </row>
    <row r="12" spans="1:7" ht="12.75">
      <c r="A12" t="s">
        <v>146</v>
      </c>
      <c r="B12">
        <v>6</v>
      </c>
      <c r="C12">
        <v>6</v>
      </c>
      <c r="D12">
        <v>5</v>
      </c>
      <c r="E12">
        <v>3</v>
      </c>
      <c r="F12">
        <v>8</v>
      </c>
      <c r="G12">
        <v>12</v>
      </c>
    </row>
    <row r="13" spans="1:7" ht="12.75">
      <c r="A13" t="s">
        <v>134</v>
      </c>
      <c r="B13">
        <f aca="true" t="shared" si="2" ref="B13:G13">B3*B12</f>
        <v>6</v>
      </c>
      <c r="C13">
        <f t="shared" si="2"/>
        <v>6</v>
      </c>
      <c r="D13">
        <f t="shared" si="2"/>
        <v>5</v>
      </c>
      <c r="E13">
        <f t="shared" si="2"/>
        <v>3</v>
      </c>
      <c r="F13">
        <f t="shared" si="2"/>
        <v>16</v>
      </c>
      <c r="G13">
        <f t="shared" si="2"/>
        <v>12</v>
      </c>
    </row>
    <row r="15" spans="1:7" ht="12.75">
      <c r="A15" t="s">
        <v>110</v>
      </c>
      <c r="B15">
        <v>1</v>
      </c>
      <c r="C15">
        <v>2</v>
      </c>
      <c r="D15">
        <v>1</v>
      </c>
      <c r="E15">
        <v>1</v>
      </c>
      <c r="F15">
        <v>2</v>
      </c>
      <c r="G15">
        <v>2</v>
      </c>
    </row>
    <row r="16" spans="1:7" ht="12.75">
      <c r="A16" t="s">
        <v>106</v>
      </c>
      <c r="B16">
        <v>0.3</v>
      </c>
      <c r="C16">
        <v>0.3</v>
      </c>
      <c r="D16">
        <v>0.3</v>
      </c>
      <c r="E16">
        <v>0.3</v>
      </c>
      <c r="F16">
        <v>0.3</v>
      </c>
      <c r="G16">
        <v>0.3</v>
      </c>
    </row>
    <row r="17" spans="1:7" ht="12.75">
      <c r="A17" t="s">
        <v>107</v>
      </c>
      <c r="B17">
        <f aca="true" t="shared" si="3" ref="B17:G17">5/60</f>
        <v>0.08333333333333333</v>
      </c>
      <c r="C17">
        <f t="shared" si="3"/>
        <v>0.08333333333333333</v>
      </c>
      <c r="D17">
        <f t="shared" si="3"/>
        <v>0.08333333333333333</v>
      </c>
      <c r="E17">
        <f t="shared" si="3"/>
        <v>0.08333333333333333</v>
      </c>
      <c r="F17">
        <f t="shared" si="3"/>
        <v>0.08333333333333333</v>
      </c>
      <c r="G17">
        <f t="shared" si="3"/>
        <v>0.08333333333333333</v>
      </c>
    </row>
    <row r="18" spans="1:7" ht="12.75">
      <c r="A18" t="s">
        <v>108</v>
      </c>
      <c r="B18">
        <f aca="true" t="shared" si="4" ref="B18:G18">B12*B6</f>
        <v>7.9</v>
      </c>
      <c r="C18">
        <f t="shared" si="4"/>
        <v>16.4</v>
      </c>
      <c r="D18">
        <f t="shared" si="4"/>
        <v>7.54320987654321</v>
      </c>
      <c r="E18">
        <f t="shared" si="4"/>
        <v>8.377777777777778</v>
      </c>
      <c r="F18">
        <f t="shared" si="4"/>
        <v>15.78989898989899</v>
      </c>
      <c r="G18">
        <f t="shared" si="4"/>
        <v>15.866666666666667</v>
      </c>
    </row>
    <row r="19" spans="1:7" ht="12.75">
      <c r="A19" t="s">
        <v>103</v>
      </c>
      <c r="B19">
        <f aca="true" t="shared" si="5" ref="B19:G19">B18+B10</f>
        <v>8.622222222222222</v>
      </c>
      <c r="C19">
        <f t="shared" si="5"/>
        <v>17.288888888888888</v>
      </c>
      <c r="D19">
        <f t="shared" si="5"/>
        <v>8.185185185185185</v>
      </c>
      <c r="E19">
        <f t="shared" si="5"/>
        <v>9.365432098765432</v>
      </c>
      <c r="F19">
        <f t="shared" si="5"/>
        <v>15.78989898989899</v>
      </c>
      <c r="G19">
        <f t="shared" si="5"/>
        <v>16.303030303030305</v>
      </c>
    </row>
    <row r="20" spans="1:7" ht="12.75">
      <c r="A20" t="s">
        <v>109</v>
      </c>
      <c r="B20">
        <f aca="true" t="shared" si="6" ref="B20:G20">B19/B15+B16+B17</f>
        <v>9.005555555555556</v>
      </c>
      <c r="C20">
        <f t="shared" si="6"/>
        <v>9.027777777777779</v>
      </c>
      <c r="D20">
        <f t="shared" si="6"/>
        <v>8.56851851851852</v>
      </c>
      <c r="E20">
        <f t="shared" si="6"/>
        <v>9.748765432098766</v>
      </c>
      <c r="F20">
        <f t="shared" si="6"/>
        <v>8.27828282828283</v>
      </c>
      <c r="G20">
        <f t="shared" si="6"/>
        <v>8.534848484848487</v>
      </c>
    </row>
    <row r="22" spans="1:7" ht="12.75">
      <c r="A22" t="s">
        <v>111</v>
      </c>
      <c r="B22">
        <f>яды!$C$8*яды!$I$8</f>
        <v>18</v>
      </c>
      <c r="C22">
        <f>лес!C6*лес!I6</f>
        <v>13.3</v>
      </c>
      <c r="D22">
        <f>станки!C9*станки!I9</f>
        <v>12</v>
      </c>
      <c r="E22">
        <f>капуста!C9*капуста!I9</f>
        <v>11.200000000000001</v>
      </c>
      <c r="F22">
        <f>щебень!C6*(щебень!I6+опилки!I6)/2</f>
        <v>9.424999999999999</v>
      </c>
      <c r="G22">
        <f>щебень!C6*щебень!I6</f>
        <v>13</v>
      </c>
    </row>
    <row r="23" spans="1:7" ht="12.75">
      <c r="A23" t="s">
        <v>112</v>
      </c>
      <c r="B23">
        <f aca="true" t="shared" si="7" ref="B23:G23">B3*B22</f>
        <v>18</v>
      </c>
      <c r="C23">
        <f t="shared" si="7"/>
        <v>13.3</v>
      </c>
      <c r="D23">
        <f t="shared" si="7"/>
        <v>12</v>
      </c>
      <c r="E23">
        <f t="shared" si="7"/>
        <v>11.200000000000001</v>
      </c>
      <c r="F23">
        <f t="shared" si="7"/>
        <v>18.849999999999998</v>
      </c>
      <c r="G23">
        <f t="shared" si="7"/>
        <v>13</v>
      </c>
    </row>
    <row r="24" spans="1:7" ht="12.75">
      <c r="A24" t="s">
        <v>113</v>
      </c>
      <c r="B24">
        <f aca="true" t="shared" si="8" ref="B24:G24">B12*B23</f>
        <v>108</v>
      </c>
      <c r="C24">
        <f t="shared" si="8"/>
        <v>79.80000000000001</v>
      </c>
      <c r="D24">
        <f t="shared" si="8"/>
        <v>60</v>
      </c>
      <c r="E24">
        <f t="shared" si="8"/>
        <v>33.6</v>
      </c>
      <c r="F24">
        <f t="shared" si="8"/>
        <v>150.79999999999998</v>
      </c>
      <c r="G24">
        <f t="shared" si="8"/>
        <v>156</v>
      </c>
    </row>
    <row r="26" spans="1:7" ht="12.75">
      <c r="A26" s="10" t="s">
        <v>104</v>
      </c>
      <c r="B26">
        <v>22</v>
      </c>
      <c r="C26">
        <v>33</v>
      </c>
      <c r="D26">
        <v>13</v>
      </c>
      <c r="E26">
        <v>39</v>
      </c>
      <c r="F26">
        <v>32</v>
      </c>
      <c r="G26">
        <v>20</v>
      </c>
    </row>
    <row r="27" spans="1:7" ht="12.75">
      <c r="A27" s="10" t="s">
        <v>114</v>
      </c>
      <c r="B27">
        <f>B22*$B$26</f>
        <v>396</v>
      </c>
      <c r="C27">
        <f>C22*$C$26</f>
        <v>438.90000000000003</v>
      </c>
      <c r="D27">
        <f>D22*$D$26</f>
        <v>156</v>
      </c>
      <c r="E27">
        <f>E22*$E$26</f>
        <v>436.80000000000007</v>
      </c>
      <c r="F27">
        <f>1/F3*(щебень!C6*щебень!C2*щебень!I6+щебень!C6*опилки!C2*опилки!I6)</f>
        <v>165.1</v>
      </c>
      <c r="G27">
        <f>G22*$G$26</f>
        <v>260</v>
      </c>
    </row>
    <row r="28" spans="1:7" ht="12.75">
      <c r="A28" s="10" t="s">
        <v>115</v>
      </c>
      <c r="B28">
        <f>B23*$B$26</f>
        <v>396</v>
      </c>
      <c r="C28">
        <f>C23*$C$26</f>
        <v>438.90000000000003</v>
      </c>
      <c r="D28">
        <f>D23*$D$26</f>
        <v>156</v>
      </c>
      <c r="E28">
        <f>E23*$E$26</f>
        <v>436.80000000000007</v>
      </c>
      <c r="F28">
        <f>F27*F3</f>
        <v>330.2</v>
      </c>
      <c r="G28">
        <f>G23*$G$26</f>
        <v>260</v>
      </c>
    </row>
    <row r="29" spans="1:7" ht="12.75">
      <c r="A29" s="10" t="s">
        <v>116</v>
      </c>
      <c r="B29">
        <f>B24*$B$26</f>
        <v>2376</v>
      </c>
      <c r="C29">
        <f>C24*$C$26</f>
        <v>2633.4000000000005</v>
      </c>
      <c r="D29">
        <f>D24*$D$26</f>
        <v>780</v>
      </c>
      <c r="E29">
        <f>E24*$E$26</f>
        <v>1310.4</v>
      </c>
      <c r="F29">
        <f>F12*F28</f>
        <v>2641.6</v>
      </c>
      <c r="G29">
        <f>G24*$G$26</f>
        <v>3120</v>
      </c>
    </row>
    <row r="31" spans="1:7" ht="12.75">
      <c r="A31" t="s">
        <v>117</v>
      </c>
      <c r="B31">
        <f>B27/B22</f>
        <v>22</v>
      </c>
      <c r="C31">
        <f>C27/C22</f>
        <v>33</v>
      </c>
      <c r="D31">
        <f>D27/D22</f>
        <v>13</v>
      </c>
      <c r="E31">
        <f>E27/E22</f>
        <v>39</v>
      </c>
      <c r="F31">
        <f>(12+20)/F3</f>
        <v>16</v>
      </c>
      <c r="G31">
        <f>G27/G22</f>
        <v>20</v>
      </c>
    </row>
    <row r="33" spans="1:7" ht="12.75">
      <c r="A33" t="s">
        <v>136</v>
      </c>
      <c r="B33">
        <f>B28/яды!$C$8/'пок-ли'!B26</f>
        <v>0.6</v>
      </c>
      <c r="C33">
        <f>C28/лес!C6/'пок-ли'!C26</f>
        <v>1</v>
      </c>
      <c r="D33">
        <f>D28/станки!C9/'пок-ли'!D26</f>
        <v>0.8</v>
      </c>
      <c r="E33">
        <f>E28/капуста!C9/'пок-ли'!E26</f>
        <v>0.8000000000000002</v>
      </c>
      <c r="F33">
        <f>F28/щебень!C6/(щебень!C2+опилки!C2)</f>
        <v>0.79375</v>
      </c>
      <c r="G33">
        <f>G28/щебень!C6/'пок-ли'!G26</f>
        <v>1</v>
      </c>
    </row>
    <row r="34" spans="1:7" ht="12.75">
      <c r="A34" t="s">
        <v>137</v>
      </c>
      <c r="B34">
        <f>1/B3*яды!$I$8</f>
        <v>0.6</v>
      </c>
      <c r="C34">
        <f>1/C3*лес!I6</f>
        <v>1</v>
      </c>
      <c r="D34">
        <f>1/D3*станки!I9</f>
        <v>0.8</v>
      </c>
      <c r="E34">
        <f>1/E3*капуста!I9</f>
        <v>0.8</v>
      </c>
      <c r="F34">
        <f>1/F3*(опилки!I6+щебень!I6)</f>
        <v>0.725</v>
      </c>
      <c r="G34">
        <f>1/G3*щебень!I6</f>
        <v>1</v>
      </c>
    </row>
    <row r="36" spans="1:7" ht="12.75">
      <c r="A36" t="s">
        <v>118</v>
      </c>
      <c r="B36">
        <v>22</v>
      </c>
      <c r="C36">
        <v>33</v>
      </c>
      <c r="D36">
        <v>13</v>
      </c>
      <c r="E36">
        <v>39</v>
      </c>
      <c r="F36">
        <v>20</v>
      </c>
      <c r="G36">
        <v>20</v>
      </c>
    </row>
    <row r="37" spans="1:7" ht="12.75">
      <c r="A37" t="s">
        <v>119</v>
      </c>
      <c r="B37">
        <f aca="true" t="shared" si="9" ref="B37:G37">B9</f>
        <v>13</v>
      </c>
      <c r="C37">
        <f t="shared" si="9"/>
        <v>20</v>
      </c>
      <c r="D37">
        <f t="shared" si="9"/>
        <v>13</v>
      </c>
      <c r="E37">
        <f t="shared" si="9"/>
        <v>20</v>
      </c>
      <c r="F37">
        <f t="shared" si="9"/>
        <v>0</v>
      </c>
      <c r="G37">
        <f t="shared" si="9"/>
        <v>12</v>
      </c>
    </row>
    <row r="38" spans="1:7" ht="12.75">
      <c r="A38" t="s">
        <v>120</v>
      </c>
      <c r="B38">
        <f aca="true" t="shared" si="10" ref="B38:G38">B13*B31</f>
        <v>132</v>
      </c>
      <c r="C38">
        <f t="shared" si="10"/>
        <v>198</v>
      </c>
      <c r="D38">
        <f t="shared" si="10"/>
        <v>65</v>
      </c>
      <c r="E38">
        <f t="shared" si="10"/>
        <v>117</v>
      </c>
      <c r="F38">
        <f t="shared" si="10"/>
        <v>256</v>
      </c>
      <c r="G38">
        <f t="shared" si="10"/>
        <v>240</v>
      </c>
    </row>
    <row r="39" spans="1:7" ht="12.75">
      <c r="A39" t="s">
        <v>121</v>
      </c>
      <c r="B39">
        <f aca="true" t="shared" si="11" ref="B39:G39">B13*B36</f>
        <v>132</v>
      </c>
      <c r="C39">
        <f t="shared" si="11"/>
        <v>198</v>
      </c>
      <c r="D39">
        <f t="shared" si="11"/>
        <v>65</v>
      </c>
      <c r="E39">
        <f t="shared" si="11"/>
        <v>117</v>
      </c>
      <c r="F39">
        <f>F36*F12</f>
        <v>160</v>
      </c>
      <c r="G39">
        <f t="shared" si="11"/>
        <v>240</v>
      </c>
    </row>
    <row r="40" spans="1:7" ht="12.75">
      <c r="A40" t="s">
        <v>122</v>
      </c>
      <c r="B40">
        <f aca="true" t="shared" si="12" ref="B40:G40">2*B9</f>
        <v>26</v>
      </c>
      <c r="C40">
        <f t="shared" si="12"/>
        <v>40</v>
      </c>
      <c r="D40">
        <f t="shared" si="12"/>
        <v>26</v>
      </c>
      <c r="E40">
        <f t="shared" si="12"/>
        <v>40</v>
      </c>
      <c r="F40">
        <f t="shared" si="12"/>
        <v>0</v>
      </c>
      <c r="G40">
        <f t="shared" si="12"/>
        <v>24</v>
      </c>
    </row>
    <row r="41" spans="1:7" ht="12.75">
      <c r="A41" t="s">
        <v>123</v>
      </c>
      <c r="B41">
        <f aca="true" t="shared" si="13" ref="B41:G41">SUM(B38:B40)</f>
        <v>290</v>
      </c>
      <c r="C41">
        <f t="shared" si="13"/>
        <v>436</v>
      </c>
      <c r="D41">
        <f t="shared" si="13"/>
        <v>156</v>
      </c>
      <c r="E41">
        <f t="shared" si="13"/>
        <v>274</v>
      </c>
      <c r="F41">
        <f t="shared" si="13"/>
        <v>416</v>
      </c>
      <c r="G41">
        <f t="shared" si="13"/>
        <v>504</v>
      </c>
    </row>
    <row r="43" spans="1:7" ht="12.75">
      <c r="A43" t="s">
        <v>124</v>
      </c>
      <c r="B43">
        <f>яды!$C$2/2/яды!$C$2</f>
        <v>0.5</v>
      </c>
      <c r="C43">
        <f>лес!C2/2/лес!C2</f>
        <v>0.5</v>
      </c>
      <c r="D43">
        <f>станки!C2/2/станки!C2</f>
        <v>0.5</v>
      </c>
      <c r="E43">
        <f>капуста!C2/2/капуста!C2</f>
        <v>0.5</v>
      </c>
      <c r="F43">
        <f>(12+20)/(12+20+20)</f>
        <v>0.6153846153846154</v>
      </c>
      <c r="G43">
        <f>щебень!C2/2/щебень!C2</f>
        <v>0.5</v>
      </c>
    </row>
    <row r="44" spans="1:7" ht="12.75">
      <c r="A44" t="s">
        <v>125</v>
      </c>
      <c r="B44">
        <f aca="true" t="shared" si="14" ref="B44:G44">B38/B41</f>
        <v>0.45517241379310347</v>
      </c>
      <c r="C44">
        <f t="shared" si="14"/>
        <v>0.4541284403669725</v>
      </c>
      <c r="D44">
        <f t="shared" si="14"/>
        <v>0.4166666666666667</v>
      </c>
      <c r="E44">
        <f t="shared" si="14"/>
        <v>0.42700729927007297</v>
      </c>
      <c r="F44">
        <f t="shared" si="14"/>
        <v>0.6153846153846154</v>
      </c>
      <c r="G44">
        <f t="shared" si="14"/>
        <v>0.47619047619047616</v>
      </c>
    </row>
    <row r="46" spans="1:7" ht="12.75">
      <c r="A46" t="s">
        <v>126</v>
      </c>
      <c r="B46">
        <f>B41/(B19-B13*яды!$D$8)</f>
        <v>46.60714285714286</v>
      </c>
      <c r="C46">
        <f>C41/(C19-C13*лес!D6)</f>
        <v>45</v>
      </c>
      <c r="D46">
        <f>D41/(D19-D13*станки!D9)</f>
        <v>40.50000000000001</v>
      </c>
      <c r="E46">
        <f>E41/(E19-E13*капуста!D9)</f>
        <v>40.5</v>
      </c>
      <c r="F46">
        <f>F41/(F19-F13*F4)</f>
        <v>46.97080291970803</v>
      </c>
      <c r="G46">
        <f>G41/(G19-G13*щебень!D6)</f>
        <v>45.393013100436676</v>
      </c>
    </row>
    <row r="47" spans="1:7" ht="12.75">
      <c r="A47" t="s">
        <v>127</v>
      </c>
      <c r="B47">
        <f aca="true" t="shared" si="15" ref="B47:G47">B41/B19</f>
        <v>33.634020618556704</v>
      </c>
      <c r="C47">
        <f t="shared" si="15"/>
        <v>25.218508997429307</v>
      </c>
      <c r="D47">
        <f t="shared" si="15"/>
        <v>19.058823529411764</v>
      </c>
      <c r="E47">
        <f t="shared" si="15"/>
        <v>29.2565251779594</v>
      </c>
      <c r="F47">
        <f t="shared" si="15"/>
        <v>26.345957011258957</v>
      </c>
      <c r="G47">
        <f t="shared" si="15"/>
        <v>30.914498141263937</v>
      </c>
    </row>
    <row r="49" spans="1:7" ht="12.75">
      <c r="A49" t="s">
        <v>138</v>
      </c>
      <c r="B49">
        <f>яды!$C$1/яды!$B$18/'пок-ли'!B24</f>
        <v>0.8888888888888888</v>
      </c>
      <c r="C49">
        <f>лес!C1/лес!B18/'пок-ли'!C24</f>
        <v>4.463212826587014</v>
      </c>
      <c r="D49">
        <f>станки!C1/станки!B18/'пок-ли'!D24</f>
        <v>5.333333333333333</v>
      </c>
      <c r="E49">
        <f>капуста!C1/капуста!B18/'пок-ли'!E24</f>
        <v>1.4285714285714286</v>
      </c>
      <c r="F49">
        <f>'BD-DC'!A8/щебень!B18/'пок-ли'!F24</f>
        <v>2.341646177262616</v>
      </c>
      <c r="G49">
        <f>'BD-DC'!B8/щебень!B18/'пок-ли'!G24</f>
        <v>3.3563595207430827</v>
      </c>
    </row>
    <row r="50" spans="1:5" ht="12.75">
      <c r="A50" t="s">
        <v>218</v>
      </c>
      <c r="D50">
        <f>6</f>
        <v>6</v>
      </c>
      <c r="E50">
        <v>2</v>
      </c>
    </row>
    <row r="51" spans="1:7" ht="12.75">
      <c r="A51" t="s">
        <v>128</v>
      </c>
      <c r="B51">
        <f aca="true" t="shared" si="16" ref="B51:G51">B6/B49</f>
        <v>1.48125</v>
      </c>
      <c r="C51">
        <f t="shared" si="16"/>
        <v>0.6124138461538463</v>
      </c>
      <c r="D51">
        <f t="shared" si="16"/>
        <v>0.2828703703703704</v>
      </c>
      <c r="E51">
        <f t="shared" si="16"/>
        <v>1.9548148148148148</v>
      </c>
      <c r="F51">
        <f t="shared" si="16"/>
        <v>0.8428845454545453</v>
      </c>
      <c r="G51">
        <f t="shared" si="16"/>
        <v>0.3939453488372093</v>
      </c>
    </row>
    <row r="52" spans="1:7" ht="12.75">
      <c r="A52" t="s">
        <v>129</v>
      </c>
      <c r="B52">
        <f aca="true" t="shared" si="17" ref="B52:G52">1/B51</f>
        <v>0.6751054852320675</v>
      </c>
      <c r="C52">
        <f t="shared" si="17"/>
        <v>1.6328827414342735</v>
      </c>
      <c r="D52">
        <f t="shared" si="17"/>
        <v>3.5351882160392796</v>
      </c>
      <c r="E52">
        <f t="shared" si="17"/>
        <v>0.5115574081091323</v>
      </c>
      <c r="F52">
        <f t="shared" si="17"/>
        <v>1.186402106187303</v>
      </c>
      <c r="G52">
        <f t="shared" si="17"/>
        <v>2.53842316694855</v>
      </c>
    </row>
    <row r="54" spans="1:7" ht="12.75">
      <c r="A54" t="s">
        <v>130</v>
      </c>
      <c r="B54">
        <f>B49*яды!$B$18</f>
        <v>222.2222222222222</v>
      </c>
      <c r="C54">
        <f>C49*лес!B18</f>
        <v>1629.0726817042603</v>
      </c>
      <c r="D54">
        <f>D49*станки!B18</f>
        <v>1333.3333333333333</v>
      </c>
      <c r="E54">
        <f>E49*капуста!B18</f>
        <v>357.14285714285717</v>
      </c>
      <c r="F54">
        <f>F49*щебень!B18</f>
        <v>854.7008547008548</v>
      </c>
      <c r="G54">
        <f>G49*щебень!B18</f>
        <v>1225.0712250712252</v>
      </c>
    </row>
    <row r="55" spans="1:7" ht="12.75">
      <c r="A55" t="s">
        <v>146</v>
      </c>
      <c r="B55">
        <v>222</v>
      </c>
      <c r="C55">
        <v>1629</v>
      </c>
      <c r="D55">
        <v>1333</v>
      </c>
      <c r="E55">
        <v>357</v>
      </c>
      <c r="F55">
        <v>855</v>
      </c>
      <c r="G55">
        <v>1225</v>
      </c>
    </row>
    <row r="57" spans="1:5" ht="12.75">
      <c r="A57" t="s">
        <v>217</v>
      </c>
      <c r="D57">
        <f>D50*(1+1.1*D46*(станки!D8/2+станки!D9)/(2*станки!C2+станки!D9*'пок-ли'!D46))</f>
        <v>12.270540098199673</v>
      </c>
      <c r="E57">
        <f>E50*(1+1.1*E46*(капуста!D8/2+капуста!D9)/(2*капуста!C2+капуста!D9*'пок-ли'!E46))</f>
        <v>3.2867374005305043</v>
      </c>
    </row>
    <row r="60" ht="12.75">
      <c r="A60" s="7"/>
    </row>
    <row r="63" spans="1:7" ht="12.75">
      <c r="A63" s="20" t="s">
        <v>201</v>
      </c>
      <c r="B63" s="20"/>
      <c r="C63" s="20"/>
      <c r="D63" s="20"/>
      <c r="E63" s="20"/>
      <c r="F63" s="20"/>
      <c r="G63" s="20"/>
    </row>
    <row r="64" spans="1:8" ht="12.75">
      <c r="A64" t="s">
        <v>138</v>
      </c>
      <c r="B64">
        <f aca="true" t="shared" si="18" ref="B64:G64">B49</f>
        <v>0.8888888888888888</v>
      </c>
      <c r="C64">
        <f t="shared" si="18"/>
        <v>4.463212826587014</v>
      </c>
      <c r="D64">
        <f t="shared" si="18"/>
        <v>5.333333333333333</v>
      </c>
      <c r="E64">
        <f t="shared" si="18"/>
        <v>1.4285714285714286</v>
      </c>
      <c r="F64">
        <f t="shared" si="18"/>
        <v>2.341646177262616</v>
      </c>
      <c r="G64">
        <f t="shared" si="18"/>
        <v>3.3563595207430827</v>
      </c>
      <c r="H64">
        <f>SUM(B64:G64)</f>
        <v>17.812012175386364</v>
      </c>
    </row>
    <row r="65" spans="1:2" ht="12.75">
      <c r="A65" t="s">
        <v>194</v>
      </c>
      <c r="B65">
        <f>H64/0.8</f>
        <v>22.265015219232954</v>
      </c>
    </row>
    <row r="67" spans="1:3" ht="12.75">
      <c r="A67" t="s">
        <v>195</v>
      </c>
      <c r="B67">
        <f>(яды!C8*'пок-ли'!B49+лес!C6*'пок-ли'!C49+станки!C9*'пок-ли'!D49+капуста!C9*'пок-ли'!E49+щебень!C6*'пок-ли'!F49+щебень!C6*'пок-ли'!G49)/H64</f>
        <v>14.60258778027172</v>
      </c>
      <c r="C67" s="5"/>
    </row>
    <row r="69" spans="1:8" ht="12.75">
      <c r="A69" t="s">
        <v>202</v>
      </c>
      <c r="B69">
        <f aca="true" t="shared" si="19" ref="B69:G69">B41*B54</f>
        <v>64444.44444444444</v>
      </c>
      <c r="C69">
        <f t="shared" si="19"/>
        <v>710275.6892230575</v>
      </c>
      <c r="D69">
        <f t="shared" si="19"/>
        <v>208000</v>
      </c>
      <c r="E69">
        <f t="shared" si="19"/>
        <v>97857.14285714287</v>
      </c>
      <c r="F69">
        <f t="shared" si="19"/>
        <v>355555.5555555556</v>
      </c>
      <c r="G69">
        <f t="shared" si="19"/>
        <v>617435.8974358975</v>
      </c>
      <c r="H69">
        <f>SUM(B69:G69)</f>
        <v>2053568.7295160978</v>
      </c>
    </row>
    <row r="70" spans="1:8" ht="12.75">
      <c r="A70" t="s">
        <v>130</v>
      </c>
      <c r="B70">
        <f aca="true" t="shared" si="20" ref="B70:G70">B54</f>
        <v>222.2222222222222</v>
      </c>
      <c r="C70">
        <f t="shared" si="20"/>
        <v>1629.0726817042603</v>
      </c>
      <c r="D70">
        <f t="shared" si="20"/>
        <v>1333.3333333333333</v>
      </c>
      <c r="E70">
        <f t="shared" si="20"/>
        <v>357.14285714285717</v>
      </c>
      <c r="F70">
        <f t="shared" si="20"/>
        <v>854.7008547008548</v>
      </c>
      <c r="G70">
        <f t="shared" si="20"/>
        <v>1225.0712250712252</v>
      </c>
      <c r="H70">
        <f>SUM(B70:G70)</f>
        <v>5621.5431741747525</v>
      </c>
    </row>
    <row r="71" spans="1:2" ht="12.75">
      <c r="A71" t="s">
        <v>196</v>
      </c>
      <c r="B71">
        <f>H69/H70</f>
        <v>365.3033812761855</v>
      </c>
    </row>
    <row r="73" spans="1:8" ht="12.75">
      <c r="A73" t="s">
        <v>203</v>
      </c>
      <c r="B73">
        <f aca="true" t="shared" si="21" ref="B73:G73">B38*B54</f>
        <v>29333.333333333332</v>
      </c>
      <c r="C73">
        <f t="shared" si="21"/>
        <v>322556.39097744355</v>
      </c>
      <c r="D73">
        <f t="shared" si="21"/>
        <v>86666.66666666666</v>
      </c>
      <c r="E73">
        <f t="shared" si="21"/>
        <v>41785.71428571429</v>
      </c>
      <c r="F73">
        <f t="shared" si="21"/>
        <v>218803.41880341884</v>
      </c>
      <c r="G73">
        <f t="shared" si="21"/>
        <v>294017.09401709406</v>
      </c>
      <c r="H73">
        <f>SUM(B73:G73)</f>
        <v>993162.6180836707</v>
      </c>
    </row>
    <row r="74" spans="1:2" ht="12.75">
      <c r="A74" t="s">
        <v>197</v>
      </c>
      <c r="B74">
        <f>H73/H69</f>
        <v>0.4836276496661006</v>
      </c>
    </row>
    <row r="76" spans="2:8" ht="12.75">
      <c r="B76">
        <f aca="true" t="shared" si="22" ref="B76:G76">(B19-B13*B4)*B54</f>
        <v>1382.7160493827157</v>
      </c>
      <c r="C76">
        <f t="shared" si="22"/>
        <v>15783.904204956832</v>
      </c>
      <c r="D76">
        <f t="shared" si="22"/>
        <v>5135.802469135801</v>
      </c>
      <c r="E76">
        <f t="shared" si="22"/>
        <v>2416.225749559083</v>
      </c>
      <c r="F76">
        <f t="shared" si="22"/>
        <v>7569.714236380904</v>
      </c>
      <c r="G76">
        <f t="shared" si="22"/>
        <v>13602.002935336273</v>
      </c>
      <c r="H76">
        <f>SUM(B76:G76)</f>
        <v>45890.36564475161</v>
      </c>
    </row>
    <row r="77" spans="1:2" ht="12.75">
      <c r="A77" t="s">
        <v>198</v>
      </c>
      <c r="B77">
        <f>H69/H76</f>
        <v>44.749452323245116</v>
      </c>
    </row>
    <row r="79" spans="2:8" ht="12.75">
      <c r="B79">
        <f aca="true" t="shared" si="23" ref="B79:G79">B19*B54</f>
        <v>1916.0493827160492</v>
      </c>
      <c r="C79">
        <f t="shared" si="23"/>
        <v>28164.85658590921</v>
      </c>
      <c r="D79">
        <f t="shared" si="23"/>
        <v>10913.58024691358</v>
      </c>
      <c r="E79">
        <f t="shared" si="23"/>
        <v>3344.7971781305114</v>
      </c>
      <c r="F79">
        <f t="shared" si="23"/>
        <v>13495.640162306832</v>
      </c>
      <c r="G79">
        <f t="shared" si="23"/>
        <v>19972.373305706642</v>
      </c>
      <c r="H79">
        <f>SUM(B79:G79)</f>
        <v>77807.29686168281</v>
      </c>
    </row>
    <row r="80" spans="1:2" ht="12.75">
      <c r="A80" t="s">
        <v>199</v>
      </c>
      <c r="B80">
        <f>H69/H79</f>
        <v>26.39300955496121</v>
      </c>
    </row>
    <row r="82" spans="2:8" ht="12.75">
      <c r="B82">
        <f aca="true" t="shared" si="24" ref="B82:G82">B13*B2*B54</f>
        <v>533.3333333333334</v>
      </c>
      <c r="C82">
        <f t="shared" si="24"/>
        <v>12380.952380952378</v>
      </c>
      <c r="D82">
        <f t="shared" si="24"/>
        <v>5777.777777777778</v>
      </c>
      <c r="E82">
        <f t="shared" si="24"/>
        <v>928.5714285714287</v>
      </c>
      <c r="F82">
        <f t="shared" si="24"/>
        <v>11851.851851851854</v>
      </c>
      <c r="G82">
        <f t="shared" si="24"/>
        <v>6370.370370370371</v>
      </c>
      <c r="H82">
        <f>SUM(B82:G82)</f>
        <v>37842.857142857145</v>
      </c>
    </row>
    <row r="83" spans="1:8" ht="12.75">
      <c r="A83" s="10"/>
      <c r="B83">
        <f aca="true" t="shared" si="25" ref="B83:G83">B13*B54</f>
        <v>1333.3333333333333</v>
      </c>
      <c r="C83">
        <f t="shared" si="25"/>
        <v>9774.436090225561</v>
      </c>
      <c r="D83">
        <f t="shared" si="25"/>
        <v>6666.666666666666</v>
      </c>
      <c r="E83">
        <f t="shared" si="25"/>
        <v>1071.4285714285716</v>
      </c>
      <c r="F83">
        <f t="shared" si="25"/>
        <v>13675.213675213678</v>
      </c>
      <c r="G83">
        <f t="shared" si="25"/>
        <v>14700.854700854703</v>
      </c>
      <c r="H83">
        <f>SUM(B83:G83)</f>
        <v>47221.93303772251</v>
      </c>
    </row>
    <row r="84" spans="1:2" ht="12.75">
      <c r="A84" t="s">
        <v>200</v>
      </c>
      <c r="B84">
        <f>H82/H83</f>
        <v>0.8013830588558702</v>
      </c>
    </row>
    <row r="85" ht="12.75">
      <c r="A85" s="10"/>
    </row>
    <row r="86" ht="12.75">
      <c r="A86" s="10"/>
    </row>
    <row r="87" spans="1:2" ht="12.75">
      <c r="A87" t="s">
        <v>204</v>
      </c>
      <c r="B87">
        <f>H79/H70</f>
        <v>13.84091422069439</v>
      </c>
    </row>
    <row r="89" spans="1:8" ht="12.75">
      <c r="A89" t="s">
        <v>206</v>
      </c>
      <c r="B89">
        <f aca="true" t="shared" si="26" ref="B89:G89">B13</f>
        <v>6</v>
      </c>
      <c r="C89">
        <f t="shared" si="26"/>
        <v>6</v>
      </c>
      <c r="D89">
        <f t="shared" si="26"/>
        <v>5</v>
      </c>
      <c r="E89">
        <f t="shared" si="26"/>
        <v>3</v>
      </c>
      <c r="F89">
        <f t="shared" si="26"/>
        <v>16</v>
      </c>
      <c r="G89">
        <f t="shared" si="26"/>
        <v>12</v>
      </c>
      <c r="H89">
        <f>SUM(B89:G89)</f>
        <v>48</v>
      </c>
    </row>
    <row r="90" spans="1:2" ht="12.75">
      <c r="A90" t="s">
        <v>205</v>
      </c>
      <c r="B90">
        <f>H73/H89</f>
        <v>20690.88787674314</v>
      </c>
    </row>
    <row r="92" spans="2:8" ht="12.75">
      <c r="B92">
        <f aca="true" t="shared" si="27" ref="B92:G92">B29*B54</f>
        <v>528000</v>
      </c>
      <c r="C92">
        <f t="shared" si="27"/>
        <v>4290000</v>
      </c>
      <c r="D92">
        <f t="shared" si="27"/>
        <v>1039999.9999999999</v>
      </c>
      <c r="E92">
        <f t="shared" si="27"/>
        <v>468000.00000000006</v>
      </c>
      <c r="F92">
        <f t="shared" si="27"/>
        <v>2257777.777777778</v>
      </c>
      <c r="G92">
        <f t="shared" si="27"/>
        <v>3822222.2222222225</v>
      </c>
      <c r="H92">
        <f>SUM(B92:G92)</f>
        <v>12406000</v>
      </c>
    </row>
    <row r="93" spans="2:8" ht="12.75">
      <c r="B93">
        <f aca="true" t="shared" si="28" ref="B93:G93">B24*B54</f>
        <v>23999.999999999996</v>
      </c>
      <c r="C93">
        <f t="shared" si="28"/>
        <v>129999.99999999999</v>
      </c>
      <c r="D93">
        <f t="shared" si="28"/>
        <v>80000</v>
      </c>
      <c r="E93">
        <f t="shared" si="28"/>
        <v>12000.000000000002</v>
      </c>
      <c r="F93">
        <f t="shared" si="28"/>
        <v>128888.88888888889</v>
      </c>
      <c r="G93">
        <f t="shared" si="28"/>
        <v>191111.11111111112</v>
      </c>
      <c r="H93">
        <f>SUM(B93:G93)</f>
        <v>566000</v>
      </c>
    </row>
    <row r="94" spans="1:2" ht="12.75">
      <c r="A94" t="s">
        <v>209</v>
      </c>
      <c r="B94">
        <f>H92/H93</f>
        <v>21.918727915194346</v>
      </c>
    </row>
    <row r="96" spans="1:7" ht="12.75">
      <c r="A96" t="s">
        <v>1</v>
      </c>
      <c r="B96">
        <f>яды!C6</f>
        <v>14</v>
      </c>
      <c r="C96">
        <f>лес!C6</f>
        <v>13.3</v>
      </c>
      <c r="D96">
        <f>станки!C9</f>
        <v>15</v>
      </c>
      <c r="E96">
        <f>капуста!C9</f>
        <v>14</v>
      </c>
      <c r="F96">
        <f>щебень!C6</f>
        <v>13</v>
      </c>
      <c r="G96">
        <f>щебень!C6</f>
        <v>13</v>
      </c>
    </row>
    <row r="97" spans="2:8" ht="12.75">
      <c r="B97">
        <f aca="true" t="shared" si="29" ref="B97:G97">B96*B13*B54</f>
        <v>18666.666666666664</v>
      </c>
      <c r="C97">
        <f t="shared" si="29"/>
        <v>129999.99999999999</v>
      </c>
      <c r="D97">
        <f t="shared" si="29"/>
        <v>100000</v>
      </c>
      <c r="E97">
        <f t="shared" si="29"/>
        <v>15000.000000000002</v>
      </c>
      <c r="F97">
        <f t="shared" si="29"/>
        <v>177777.7777777778</v>
      </c>
      <c r="G97">
        <f t="shared" si="29"/>
        <v>191111.11111111112</v>
      </c>
      <c r="H97">
        <f>SUM(B97:G97)</f>
        <v>632555.5555555556</v>
      </c>
    </row>
    <row r="98" spans="1:2" ht="12.75">
      <c r="A98" t="s">
        <v>207</v>
      </c>
      <c r="B98">
        <f>H93/H97</f>
        <v>0.8947830669242929</v>
      </c>
    </row>
    <row r="100" spans="2:8" ht="12.75">
      <c r="B100">
        <f aca="true" t="shared" si="30" ref="B100:G100">B96*B38*B54</f>
        <v>410666.6666666666</v>
      </c>
      <c r="C100">
        <f t="shared" si="30"/>
        <v>4289999.999999999</v>
      </c>
      <c r="D100">
        <f t="shared" si="30"/>
        <v>1300000</v>
      </c>
      <c r="E100">
        <f t="shared" si="30"/>
        <v>585000</v>
      </c>
      <c r="F100">
        <f t="shared" si="30"/>
        <v>2844444.444444445</v>
      </c>
      <c r="G100">
        <f t="shared" si="30"/>
        <v>3822222.2222222225</v>
      </c>
      <c r="H100">
        <f>SUM(B100:G100)</f>
        <v>13252333.333333334</v>
      </c>
    </row>
    <row r="101" spans="1:2" ht="12.75">
      <c r="A101" t="s">
        <v>208</v>
      </c>
      <c r="B101">
        <f>H92/H100</f>
        <v>0.936137032472269</v>
      </c>
    </row>
    <row r="103" spans="2:8" ht="12.75">
      <c r="B103">
        <f aca="true" t="shared" si="31" ref="B103:G103">B24*B49</f>
        <v>96</v>
      </c>
      <c r="C103">
        <f t="shared" si="31"/>
        <v>356.1643835616438</v>
      </c>
      <c r="D103">
        <f t="shared" si="31"/>
        <v>320</v>
      </c>
      <c r="E103">
        <f t="shared" si="31"/>
        <v>48</v>
      </c>
      <c r="F103">
        <f t="shared" si="31"/>
        <v>353.12024353120245</v>
      </c>
      <c r="G103">
        <f t="shared" si="31"/>
        <v>523.5920852359209</v>
      </c>
      <c r="H103">
        <f>SUM(B103:G103)</f>
        <v>1696.876712328767</v>
      </c>
    </row>
    <row r="104" spans="1:2" ht="12.75">
      <c r="A104" t="s">
        <v>210</v>
      </c>
      <c r="B104">
        <f>H103</f>
        <v>1696.876712328767</v>
      </c>
    </row>
    <row r="105" spans="2:8" ht="12.75">
      <c r="B105">
        <f aca="true" t="shared" si="32" ref="B105:G105">B29*B49</f>
        <v>2112</v>
      </c>
      <c r="C105">
        <f t="shared" si="32"/>
        <v>11753.424657534246</v>
      </c>
      <c r="D105">
        <f t="shared" si="32"/>
        <v>4160</v>
      </c>
      <c r="E105">
        <f t="shared" si="32"/>
        <v>1872.0000000000002</v>
      </c>
      <c r="F105">
        <f t="shared" si="32"/>
        <v>6185.692541856926</v>
      </c>
      <c r="G105">
        <f t="shared" si="32"/>
        <v>10471.841704718418</v>
      </c>
      <c r="H105">
        <f>SUM(B105:G105)</f>
        <v>36554.95890410959</v>
      </c>
    </row>
    <row r="106" spans="1:2" ht="12.75">
      <c r="A106" t="s">
        <v>211</v>
      </c>
      <c r="B106">
        <f>H105</f>
        <v>36554.95890410959</v>
      </c>
    </row>
    <row r="107" spans="2:8" ht="12.75">
      <c r="B107">
        <f aca="true" t="shared" si="33" ref="B107:G107">B24*B54</f>
        <v>23999.999999999996</v>
      </c>
      <c r="C107">
        <f t="shared" si="33"/>
        <v>129999.99999999999</v>
      </c>
      <c r="D107">
        <f t="shared" si="33"/>
        <v>80000</v>
      </c>
      <c r="E107">
        <f t="shared" si="33"/>
        <v>12000.000000000002</v>
      </c>
      <c r="F107">
        <f t="shared" si="33"/>
        <v>128888.88888888889</v>
      </c>
      <c r="G107">
        <f t="shared" si="33"/>
        <v>191111.11111111112</v>
      </c>
      <c r="H107">
        <f>SUM(B107:G107)</f>
        <v>566000</v>
      </c>
    </row>
    <row r="108" spans="1:2" ht="12.75">
      <c r="A108" t="s">
        <v>212</v>
      </c>
      <c r="B108">
        <f>H107</f>
        <v>566000</v>
      </c>
    </row>
    <row r="109" spans="2:8" ht="12.75">
      <c r="B109">
        <f aca="true" t="shared" si="34" ref="B109:G109">B29*B54</f>
        <v>528000</v>
      </c>
      <c r="C109">
        <f t="shared" si="34"/>
        <v>4290000</v>
      </c>
      <c r="D109">
        <f t="shared" si="34"/>
        <v>1039999.9999999999</v>
      </c>
      <c r="E109">
        <f t="shared" si="34"/>
        <v>468000.00000000006</v>
      </c>
      <c r="F109">
        <f t="shared" si="34"/>
        <v>2257777.777777778</v>
      </c>
      <c r="G109">
        <f t="shared" si="34"/>
        <v>3822222.2222222225</v>
      </c>
      <c r="H109">
        <f>SUM(B109:G109)</f>
        <v>12406000</v>
      </c>
    </row>
    <row r="110" spans="1:2" ht="12.75">
      <c r="A110" t="s">
        <v>213</v>
      </c>
      <c r="B110">
        <f>H109</f>
        <v>12406000</v>
      </c>
    </row>
    <row r="112" spans="1:2" ht="12.75">
      <c r="A112" t="s">
        <v>214</v>
      </c>
      <c r="B112">
        <f>B108/B65/B67</f>
        <v>1740.8590488823004</v>
      </c>
    </row>
    <row r="114" spans="1:2" ht="12.75">
      <c r="A114" t="s">
        <v>215</v>
      </c>
      <c r="B114">
        <f>B110/B65/B67</f>
        <v>38157.41583115516</v>
      </c>
    </row>
  </sheetData>
  <mergeCells count="1">
    <mergeCell ref="A63:G6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101"/>
  <sheetViews>
    <sheetView workbookViewId="0" topLeftCell="A40">
      <selection activeCell="A54" sqref="A54"/>
    </sheetView>
  </sheetViews>
  <sheetFormatPr defaultColWidth="9.00390625" defaultRowHeight="12.75"/>
  <cols>
    <col min="1" max="1" width="6.75390625" style="0" customWidth="1"/>
    <col min="2" max="2" width="7.25390625" style="0" customWidth="1"/>
    <col min="3" max="3" width="2.625" style="0" customWidth="1"/>
    <col min="4" max="5" width="2.375" style="0" customWidth="1"/>
    <col min="6" max="6" width="2.25390625" style="0" customWidth="1"/>
    <col min="7" max="7" width="2.375" style="0" customWidth="1"/>
    <col min="8" max="8" width="2.00390625" style="0" customWidth="1"/>
    <col min="9" max="9" width="2.25390625" style="0" customWidth="1"/>
    <col min="10" max="11" width="2.125" style="0" customWidth="1"/>
    <col min="12" max="12" width="2.75390625" style="0" customWidth="1"/>
    <col min="13" max="14" width="2.625" style="0" customWidth="1"/>
    <col min="15" max="15" width="2.875" style="0" customWidth="1"/>
    <col min="16" max="18" width="2.75390625" style="0" customWidth="1"/>
    <col min="19" max="19" width="3.00390625" style="0" customWidth="1"/>
    <col min="20" max="20" width="2.75390625" style="0" customWidth="1"/>
    <col min="21" max="21" width="2.875" style="0" customWidth="1"/>
    <col min="22" max="22" width="2.75390625" style="0" customWidth="1"/>
    <col min="23" max="24" width="3.00390625" style="0" customWidth="1"/>
    <col min="25" max="26" width="2.875" style="0" customWidth="1"/>
    <col min="27" max="28" width="2.75390625" style="0" customWidth="1"/>
    <col min="29" max="29" width="2.875" style="0" customWidth="1"/>
    <col min="30" max="30" width="3.125" style="0" customWidth="1"/>
    <col min="31" max="31" width="2.875" style="0" customWidth="1"/>
    <col min="32" max="32" width="3.00390625" style="0" customWidth="1"/>
  </cols>
  <sheetData>
    <row r="1" spans="1:34" ht="12.75">
      <c r="A1" s="12" t="s">
        <v>68</v>
      </c>
      <c r="B1" s="12" t="s">
        <v>153</v>
      </c>
      <c r="C1" s="12" t="s">
        <v>154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</row>
    <row r="2" spans="1:34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3" spans="1:34" ht="12.75">
      <c r="A3" s="12" t="s">
        <v>155</v>
      </c>
      <c r="B3" s="12" t="s">
        <v>156</v>
      </c>
      <c r="C3" s="12" t="s">
        <v>157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 t="s">
        <v>166</v>
      </c>
      <c r="AH3" s="12"/>
    </row>
    <row r="4" spans="1:34" ht="12.75">
      <c r="A4" s="12"/>
      <c r="B4" s="12"/>
      <c r="C4" s="12">
        <v>1</v>
      </c>
      <c r="D4" s="12">
        <v>2</v>
      </c>
      <c r="E4" s="12">
        <v>3</v>
      </c>
      <c r="F4" s="12">
        <v>4</v>
      </c>
      <c r="G4" s="12">
        <v>5</v>
      </c>
      <c r="H4" s="12">
        <v>6</v>
      </c>
      <c r="I4" s="12">
        <v>7</v>
      </c>
      <c r="J4" s="12">
        <v>8</v>
      </c>
      <c r="K4" s="12">
        <v>9</v>
      </c>
      <c r="L4" s="12">
        <v>10</v>
      </c>
      <c r="M4" s="12">
        <v>11</v>
      </c>
      <c r="N4" s="12">
        <v>12</v>
      </c>
      <c r="O4" s="12">
        <v>13</v>
      </c>
      <c r="P4" s="12">
        <v>14</v>
      </c>
      <c r="Q4" s="12">
        <v>15</v>
      </c>
      <c r="R4" s="12">
        <v>16</v>
      </c>
      <c r="S4" s="12">
        <v>17</v>
      </c>
      <c r="T4" s="12">
        <v>18</v>
      </c>
      <c r="U4" s="12">
        <v>19</v>
      </c>
      <c r="V4" s="12">
        <v>20</v>
      </c>
      <c r="W4" s="12">
        <v>21</v>
      </c>
      <c r="X4" s="12">
        <v>22</v>
      </c>
      <c r="Y4" s="12">
        <v>23</v>
      </c>
      <c r="Z4" s="12">
        <v>24</v>
      </c>
      <c r="AA4" s="12">
        <v>25</v>
      </c>
      <c r="AB4" s="12">
        <v>26</v>
      </c>
      <c r="AC4" s="12">
        <v>27</v>
      </c>
      <c r="AD4" s="12">
        <v>28</v>
      </c>
      <c r="AE4" s="12">
        <v>29</v>
      </c>
      <c r="AF4" s="12">
        <v>30</v>
      </c>
      <c r="AG4" s="12"/>
      <c r="AH4" s="12"/>
    </row>
    <row r="5" spans="1:34" ht="12.75">
      <c r="A5" s="12">
        <v>1</v>
      </c>
      <c r="B5" s="12"/>
      <c r="C5" s="13" t="s">
        <v>158</v>
      </c>
      <c r="D5" s="13" t="s">
        <v>158</v>
      </c>
      <c r="E5" s="12" t="s">
        <v>158</v>
      </c>
      <c r="F5" s="12" t="s">
        <v>159</v>
      </c>
      <c r="G5" s="12" t="s">
        <v>159</v>
      </c>
      <c r="H5" s="12" t="s">
        <v>159</v>
      </c>
      <c r="I5" s="12" t="s">
        <v>159</v>
      </c>
      <c r="J5" s="13" t="s">
        <v>158</v>
      </c>
      <c r="K5" s="13" t="s">
        <v>158</v>
      </c>
      <c r="L5" s="12" t="s">
        <v>159</v>
      </c>
      <c r="M5" s="12" t="s">
        <v>159</v>
      </c>
      <c r="N5" s="12" t="s">
        <v>159</v>
      </c>
      <c r="O5" s="12" t="s">
        <v>159</v>
      </c>
      <c r="P5" s="12" t="s">
        <v>159</v>
      </c>
      <c r="Q5" s="13" t="s">
        <v>158</v>
      </c>
      <c r="R5" s="13" t="s">
        <v>158</v>
      </c>
      <c r="S5" s="12" t="s">
        <v>159</v>
      </c>
      <c r="T5" s="12" t="s">
        <v>159</v>
      </c>
      <c r="U5" s="12" t="s">
        <v>159</v>
      </c>
      <c r="V5" s="12" t="s">
        <v>159</v>
      </c>
      <c r="W5" s="12" t="s">
        <v>159</v>
      </c>
      <c r="X5" s="13" t="s">
        <v>158</v>
      </c>
      <c r="Y5" s="13" t="s">
        <v>158</v>
      </c>
      <c r="Z5" s="12" t="s">
        <v>159</v>
      </c>
      <c r="AA5" s="12" t="s">
        <v>159</v>
      </c>
      <c r="AB5" s="12" t="s">
        <v>159</v>
      </c>
      <c r="AC5" s="12" t="s">
        <v>159</v>
      </c>
      <c r="AD5" s="12" t="s">
        <v>159</v>
      </c>
      <c r="AE5" s="13" t="s">
        <v>158</v>
      </c>
      <c r="AF5" s="13" t="s">
        <v>158</v>
      </c>
      <c r="AG5" s="12">
        <f>$D$18*$B$16</f>
        <v>162.80185185185186</v>
      </c>
      <c r="AH5" s="12"/>
    </row>
    <row r="6" spans="1:34" ht="12.75">
      <c r="A6" s="12">
        <v>2</v>
      </c>
      <c r="B6" s="12"/>
      <c r="C6" s="13" t="s">
        <v>158</v>
      </c>
      <c r="D6" s="13" t="s">
        <v>158</v>
      </c>
      <c r="E6" s="12" t="s">
        <v>159</v>
      </c>
      <c r="F6" s="12" t="s">
        <v>158</v>
      </c>
      <c r="G6" s="12" t="s">
        <v>159</v>
      </c>
      <c r="H6" s="12" t="s">
        <v>159</v>
      </c>
      <c r="I6" s="12" t="s">
        <v>159</v>
      </c>
      <c r="J6" s="13" t="s">
        <v>158</v>
      </c>
      <c r="K6" s="13" t="s">
        <v>158</v>
      </c>
      <c r="L6" s="12" t="s">
        <v>159</v>
      </c>
      <c r="M6" s="12" t="s">
        <v>159</v>
      </c>
      <c r="N6" s="12" t="s">
        <v>159</v>
      </c>
      <c r="O6" s="12" t="s">
        <v>159</v>
      </c>
      <c r="P6" s="12" t="s">
        <v>159</v>
      </c>
      <c r="Q6" s="13" t="s">
        <v>158</v>
      </c>
      <c r="R6" s="13" t="s">
        <v>158</v>
      </c>
      <c r="S6" s="12" t="s">
        <v>159</v>
      </c>
      <c r="T6" s="12" t="s">
        <v>159</v>
      </c>
      <c r="U6" s="12" t="s">
        <v>159</v>
      </c>
      <c r="V6" s="12" t="s">
        <v>159</v>
      </c>
      <c r="W6" s="12" t="s">
        <v>159</v>
      </c>
      <c r="X6" s="13" t="s">
        <v>158</v>
      </c>
      <c r="Y6" s="13" t="s">
        <v>158</v>
      </c>
      <c r="Z6" s="12" t="s">
        <v>159</v>
      </c>
      <c r="AA6" s="12" t="s">
        <v>159</v>
      </c>
      <c r="AB6" s="12" t="s">
        <v>159</v>
      </c>
      <c r="AC6" s="12" t="s">
        <v>159</v>
      </c>
      <c r="AD6" s="12" t="s">
        <v>159</v>
      </c>
      <c r="AE6" s="13" t="s">
        <v>158</v>
      </c>
      <c r="AF6" s="13" t="s">
        <v>158</v>
      </c>
      <c r="AG6" s="12">
        <f>$D$18*$B$16</f>
        <v>162.80185185185186</v>
      </c>
      <c r="AH6" s="12"/>
    </row>
    <row r="7" spans="1:34" ht="12.75">
      <c r="A7" s="12">
        <v>3</v>
      </c>
      <c r="B7" s="12"/>
      <c r="C7" s="13" t="s">
        <v>158</v>
      </c>
      <c r="D7" s="13" t="s">
        <v>158</v>
      </c>
      <c r="E7" s="12" t="s">
        <v>159</v>
      </c>
      <c r="F7" s="12" t="s">
        <v>159</v>
      </c>
      <c r="G7" s="12" t="s">
        <v>158</v>
      </c>
      <c r="H7" s="12" t="s">
        <v>159</v>
      </c>
      <c r="I7" s="12" t="s">
        <v>159</v>
      </c>
      <c r="J7" s="13" t="s">
        <v>158</v>
      </c>
      <c r="K7" s="13" t="s">
        <v>158</v>
      </c>
      <c r="L7" s="12" t="s">
        <v>159</v>
      </c>
      <c r="M7" s="12" t="s">
        <v>159</v>
      </c>
      <c r="N7" s="12" t="s">
        <v>159</v>
      </c>
      <c r="O7" s="12" t="s">
        <v>159</v>
      </c>
      <c r="P7" s="12" t="s">
        <v>159</v>
      </c>
      <c r="Q7" s="13" t="s">
        <v>158</v>
      </c>
      <c r="R7" s="13" t="s">
        <v>158</v>
      </c>
      <c r="S7" s="12" t="s">
        <v>159</v>
      </c>
      <c r="T7" s="12" t="s">
        <v>159</v>
      </c>
      <c r="U7" s="12" t="s">
        <v>159</v>
      </c>
      <c r="V7" s="12" t="s">
        <v>159</v>
      </c>
      <c r="W7" s="12" t="s">
        <v>159</v>
      </c>
      <c r="X7" s="13" t="s">
        <v>158</v>
      </c>
      <c r="Y7" s="13" t="s">
        <v>158</v>
      </c>
      <c r="Z7" s="12" t="s">
        <v>159</v>
      </c>
      <c r="AA7" s="12" t="s">
        <v>159</v>
      </c>
      <c r="AB7" s="12" t="s">
        <v>159</v>
      </c>
      <c r="AC7" s="12" t="s">
        <v>159</v>
      </c>
      <c r="AD7" s="12" t="s">
        <v>159</v>
      </c>
      <c r="AE7" s="13" t="s">
        <v>158</v>
      </c>
      <c r="AF7" s="13" t="s">
        <v>158</v>
      </c>
      <c r="AG7" s="12">
        <f>$D$18*$B$16</f>
        <v>162.80185185185186</v>
      </c>
      <c r="AH7" s="12"/>
    </row>
    <row r="8" spans="1:34" ht="12.75">
      <c r="A8" s="12">
        <v>4</v>
      </c>
      <c r="B8" s="12"/>
      <c r="C8" s="13" t="s">
        <v>158</v>
      </c>
      <c r="D8" s="13" t="s">
        <v>158</v>
      </c>
      <c r="E8" s="12" t="s">
        <v>159</v>
      </c>
      <c r="F8" s="12" t="s">
        <v>159</v>
      </c>
      <c r="G8" s="12" t="s">
        <v>159</v>
      </c>
      <c r="H8" s="12" t="s">
        <v>158</v>
      </c>
      <c r="I8" s="12" t="s">
        <v>159</v>
      </c>
      <c r="J8" s="13" t="s">
        <v>158</v>
      </c>
      <c r="K8" s="13" t="s">
        <v>158</v>
      </c>
      <c r="L8" s="12" t="s">
        <v>159</v>
      </c>
      <c r="M8" s="12" t="s">
        <v>159</v>
      </c>
      <c r="N8" s="12" t="s">
        <v>159</v>
      </c>
      <c r="O8" s="12" t="s">
        <v>159</v>
      </c>
      <c r="P8" s="12" t="s">
        <v>159</v>
      </c>
      <c r="Q8" s="13" t="s">
        <v>158</v>
      </c>
      <c r="R8" s="13" t="s">
        <v>158</v>
      </c>
      <c r="S8" s="12" t="s">
        <v>159</v>
      </c>
      <c r="T8" s="12" t="s">
        <v>159</v>
      </c>
      <c r="U8" s="12" t="s">
        <v>159</v>
      </c>
      <c r="V8" s="12" t="s">
        <v>159</v>
      </c>
      <c r="W8" s="12" t="s">
        <v>159</v>
      </c>
      <c r="X8" s="13" t="s">
        <v>158</v>
      </c>
      <c r="Y8" s="13" t="s">
        <v>158</v>
      </c>
      <c r="Z8" s="12" t="s">
        <v>159</v>
      </c>
      <c r="AA8" s="12" t="s">
        <v>159</v>
      </c>
      <c r="AB8" s="12" t="s">
        <v>159</v>
      </c>
      <c r="AC8" s="12" t="s">
        <v>159</v>
      </c>
      <c r="AD8" s="12" t="s">
        <v>159</v>
      </c>
      <c r="AE8" s="13" t="s">
        <v>158</v>
      </c>
      <c r="AF8" s="13" t="s">
        <v>158</v>
      </c>
      <c r="AG8" s="12">
        <f>$D$18*$B$16</f>
        <v>162.80185185185186</v>
      </c>
      <c r="AH8" s="12"/>
    </row>
    <row r="9" spans="1:34" ht="12.75">
      <c r="A9" s="12">
        <v>5</v>
      </c>
      <c r="B9" s="12"/>
      <c r="C9" s="13" t="s">
        <v>158</v>
      </c>
      <c r="D9" s="13" t="s">
        <v>158</v>
      </c>
      <c r="E9" s="12" t="s">
        <v>159</v>
      </c>
      <c r="F9" s="12" t="s">
        <v>159</v>
      </c>
      <c r="G9" s="12" t="s">
        <v>159</v>
      </c>
      <c r="H9" s="12" t="s">
        <v>159</v>
      </c>
      <c r="I9" s="12" t="s">
        <v>158</v>
      </c>
      <c r="J9" s="13" t="s">
        <v>158</v>
      </c>
      <c r="K9" s="13" t="s">
        <v>158</v>
      </c>
      <c r="L9" s="12" t="s">
        <v>159</v>
      </c>
      <c r="M9" s="12" t="s">
        <v>159</v>
      </c>
      <c r="N9" s="12" t="s">
        <v>159</v>
      </c>
      <c r="O9" s="12" t="s">
        <v>159</v>
      </c>
      <c r="P9" s="12" t="s">
        <v>159</v>
      </c>
      <c r="Q9" s="13" t="s">
        <v>158</v>
      </c>
      <c r="R9" s="13" t="s">
        <v>158</v>
      </c>
      <c r="S9" s="12" t="s">
        <v>159</v>
      </c>
      <c r="T9" s="12" t="s">
        <v>159</v>
      </c>
      <c r="U9" s="12" t="s">
        <v>159</v>
      </c>
      <c r="V9" s="12" t="s">
        <v>159</v>
      </c>
      <c r="W9" s="12" t="s">
        <v>159</v>
      </c>
      <c r="X9" s="13" t="s">
        <v>158</v>
      </c>
      <c r="Y9" s="13" t="s">
        <v>158</v>
      </c>
      <c r="Z9" s="12" t="s">
        <v>159</v>
      </c>
      <c r="AA9" s="12" t="s">
        <v>159</v>
      </c>
      <c r="AB9" s="12" t="s">
        <v>159</v>
      </c>
      <c r="AC9" s="12" t="s">
        <v>159</v>
      </c>
      <c r="AD9" s="12" t="s">
        <v>159</v>
      </c>
      <c r="AE9" s="13" t="s">
        <v>158</v>
      </c>
      <c r="AF9" s="13" t="s">
        <v>158</v>
      </c>
      <c r="AG9" s="12">
        <f>$D$18*$B$16</f>
        <v>162.80185185185186</v>
      </c>
      <c r="AH9" s="12"/>
    </row>
    <row r="10" spans="1:34" ht="12.75">
      <c r="A10" s="12">
        <v>6</v>
      </c>
      <c r="B10" s="12"/>
      <c r="C10" s="13" t="s">
        <v>158</v>
      </c>
      <c r="D10" s="13" t="s">
        <v>158</v>
      </c>
      <c r="E10" s="12" t="s">
        <v>159</v>
      </c>
      <c r="F10" s="12" t="s">
        <v>159</v>
      </c>
      <c r="G10" s="12" t="s">
        <v>159</v>
      </c>
      <c r="H10" s="12" t="s">
        <v>159</v>
      </c>
      <c r="I10" s="12" t="s">
        <v>159</v>
      </c>
      <c r="J10" s="13" t="s">
        <v>158</v>
      </c>
      <c r="K10" s="13" t="s">
        <v>158</v>
      </c>
      <c r="L10" s="12" t="s">
        <v>159</v>
      </c>
      <c r="M10" s="12" t="s">
        <v>159</v>
      </c>
      <c r="N10" s="12" t="s">
        <v>167</v>
      </c>
      <c r="O10" s="12" t="s">
        <v>167</v>
      </c>
      <c r="P10" s="12" t="s">
        <v>158</v>
      </c>
      <c r="Q10" s="13" t="s">
        <v>158</v>
      </c>
      <c r="R10" s="13" t="s">
        <v>158</v>
      </c>
      <c r="S10" s="12" t="s">
        <v>167</v>
      </c>
      <c r="T10" s="12" t="s">
        <v>167</v>
      </c>
      <c r="U10" s="12" t="s">
        <v>167</v>
      </c>
      <c r="V10" s="12" t="s">
        <v>167</v>
      </c>
      <c r="W10" s="12" t="s">
        <v>167</v>
      </c>
      <c r="X10" s="13" t="s">
        <v>158</v>
      </c>
      <c r="Y10" s="13" t="s">
        <v>158</v>
      </c>
      <c r="Z10" s="12" t="s">
        <v>167</v>
      </c>
      <c r="AA10" s="12" t="s">
        <v>167</v>
      </c>
      <c r="AB10" s="12" t="s">
        <v>167</v>
      </c>
      <c r="AC10" s="12" t="s">
        <v>167</v>
      </c>
      <c r="AD10" s="12" t="s">
        <v>167</v>
      </c>
      <c r="AE10" s="13" t="s">
        <v>158</v>
      </c>
      <c r="AF10" s="13" t="s">
        <v>158</v>
      </c>
      <c r="AG10" s="12">
        <f>D20*B16</f>
        <v>59.97962962962964</v>
      </c>
      <c r="AH10" s="12"/>
    </row>
    <row r="11" spans="1:34" ht="12.75">
      <c r="A11" s="12">
        <v>7</v>
      </c>
      <c r="B11" s="12" t="s">
        <v>216</v>
      </c>
      <c r="C11" s="13" t="s">
        <v>158</v>
      </c>
      <c r="D11" s="13" t="s">
        <v>158</v>
      </c>
      <c r="E11" s="12" t="s">
        <v>159</v>
      </c>
      <c r="F11" s="12" t="s">
        <v>159</v>
      </c>
      <c r="G11" s="12" t="s">
        <v>159</v>
      </c>
      <c r="H11" s="12" t="s">
        <v>159</v>
      </c>
      <c r="I11" s="12" t="s">
        <v>159</v>
      </c>
      <c r="J11" s="13" t="s">
        <v>158</v>
      </c>
      <c r="K11" s="13" t="s">
        <v>158</v>
      </c>
      <c r="L11" s="12" t="s">
        <v>167</v>
      </c>
      <c r="M11" s="12" t="s">
        <v>167</v>
      </c>
      <c r="N11" s="12" t="s">
        <v>167</v>
      </c>
      <c r="O11" s="12" t="s">
        <v>167</v>
      </c>
      <c r="P11" s="12" t="s">
        <v>167</v>
      </c>
      <c r="Q11" s="13" t="s">
        <v>158</v>
      </c>
      <c r="R11" s="13" t="s">
        <v>158</v>
      </c>
      <c r="S11" s="12" t="s">
        <v>167</v>
      </c>
      <c r="T11" s="12" t="s">
        <v>167</v>
      </c>
      <c r="U11" s="12" t="s">
        <v>167</v>
      </c>
      <c r="V11" s="12" t="s">
        <v>167</v>
      </c>
      <c r="W11" s="12" t="s">
        <v>167</v>
      </c>
      <c r="X11" s="13" t="s">
        <v>158</v>
      </c>
      <c r="Y11" s="13" t="s">
        <v>158</v>
      </c>
      <c r="Z11" s="12" t="s">
        <v>167</v>
      </c>
      <c r="AA11" s="12" t="s">
        <v>167</v>
      </c>
      <c r="AB11" s="12" t="s">
        <v>167</v>
      </c>
      <c r="AC11" s="12" t="s">
        <v>167</v>
      </c>
      <c r="AD11" s="12" t="s">
        <v>158</v>
      </c>
      <c r="AE11" s="13" t="s">
        <v>158</v>
      </c>
      <c r="AF11" s="13" t="s">
        <v>158</v>
      </c>
      <c r="AG11" s="12">
        <f>5*B16</f>
        <v>42.842592592592595</v>
      </c>
      <c r="AH11" s="12"/>
    </row>
    <row r="12" spans="1:34" ht="12.75">
      <c r="A12" s="12"/>
      <c r="B12" s="12"/>
      <c r="C12" s="13" t="s">
        <v>158</v>
      </c>
      <c r="D12" s="13" t="s">
        <v>158</v>
      </c>
      <c r="E12" s="12"/>
      <c r="F12" s="12"/>
      <c r="G12" s="12"/>
      <c r="H12" s="12"/>
      <c r="I12" s="12"/>
      <c r="J12" s="13" t="s">
        <v>158</v>
      </c>
      <c r="K12" s="13" t="s">
        <v>158</v>
      </c>
      <c r="L12" s="12"/>
      <c r="M12" s="12"/>
      <c r="N12" s="12"/>
      <c r="O12" s="12"/>
      <c r="P12" s="12"/>
      <c r="Q12" s="13" t="s">
        <v>158</v>
      </c>
      <c r="R12" s="13" t="s">
        <v>158</v>
      </c>
      <c r="S12" s="12"/>
      <c r="T12" s="12"/>
      <c r="U12" s="12"/>
      <c r="V12" s="12"/>
      <c r="W12" s="12"/>
      <c r="X12" s="13" t="s">
        <v>158</v>
      </c>
      <c r="Y12" s="13" t="s">
        <v>158</v>
      </c>
      <c r="Z12" s="12"/>
      <c r="AA12" s="12"/>
      <c r="AB12" s="12"/>
      <c r="AC12" s="12"/>
      <c r="AD12" s="12"/>
      <c r="AE12" s="13" t="s">
        <v>158</v>
      </c>
      <c r="AF12" s="13" t="s">
        <v>158</v>
      </c>
      <c r="AG12" s="12"/>
      <c r="AH12" s="12"/>
    </row>
    <row r="13" spans="1:34" ht="12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34" ht="12.75">
      <c r="A14" s="12" t="s">
        <v>160</v>
      </c>
      <c r="B14" s="12">
        <f>4*40</f>
        <v>160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1:34" ht="12.75">
      <c r="A15" s="12" t="s">
        <v>103</v>
      </c>
      <c r="B15" s="12">
        <f>'пок-ли'!D19</f>
        <v>8.185185185185185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</row>
    <row r="16" spans="1:34" ht="12.75">
      <c r="A16" s="12" t="s">
        <v>161</v>
      </c>
      <c r="B16" s="12">
        <f>'пок-ли'!D20</f>
        <v>8.56851851851852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</row>
    <row r="17" spans="1:34" ht="12.75">
      <c r="A17" s="12" t="s">
        <v>162</v>
      </c>
      <c r="B17" s="12">
        <f>'пок-ли'!D49</f>
        <v>5.333333333333333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</row>
    <row r="18" spans="1:34" ht="12.75">
      <c r="A18" s="12" t="s">
        <v>163</v>
      </c>
      <c r="B18" s="12">
        <f>B14/B16</f>
        <v>18.67300626755997</v>
      </c>
      <c r="C18" s="12" t="s">
        <v>164</v>
      </c>
      <c r="D18" s="12">
        <v>19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</row>
    <row r="19" spans="1:34" ht="12.75">
      <c r="A19" s="12" t="s">
        <v>165</v>
      </c>
      <c r="B19" s="12">
        <f>30-10-D18</f>
        <v>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</row>
    <row r="20" spans="1:34" ht="12.75">
      <c r="A20" s="12"/>
      <c r="B20" s="12">
        <f>(B17-5)*19</f>
        <v>6.333333333333328</v>
      </c>
      <c r="C20" s="12" t="s">
        <v>164</v>
      </c>
      <c r="D20" s="12">
        <v>7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</row>
    <row r="21" spans="5:34" ht="12.75"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</row>
    <row r="22" spans="1:34" ht="12.75">
      <c r="A22" s="12" t="s">
        <v>65</v>
      </c>
      <c r="B22" s="12" t="s">
        <v>192</v>
      </c>
      <c r="C22" s="12" t="s">
        <v>193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</row>
    <row r="23" spans="1:34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</row>
    <row r="24" spans="1:34" ht="12.75">
      <c r="A24" s="12" t="s">
        <v>155</v>
      </c>
      <c r="B24" s="12" t="s">
        <v>156</v>
      </c>
      <c r="C24" s="12" t="s">
        <v>157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 t="s">
        <v>166</v>
      </c>
      <c r="AH24" s="12"/>
    </row>
    <row r="25" spans="1:34" ht="12.75">
      <c r="A25" s="12"/>
      <c r="B25" s="12"/>
      <c r="C25" s="12">
        <v>1</v>
      </c>
      <c r="D25" s="12">
        <v>2</v>
      </c>
      <c r="E25" s="12">
        <v>3</v>
      </c>
      <c r="F25" s="12">
        <v>4</v>
      </c>
      <c r="G25" s="12">
        <v>5</v>
      </c>
      <c r="H25" s="12">
        <v>6</v>
      </c>
      <c r="I25" s="12">
        <v>7</v>
      </c>
      <c r="J25" s="12">
        <v>8</v>
      </c>
      <c r="K25" s="12">
        <v>9</v>
      </c>
      <c r="L25" s="12">
        <v>10</v>
      </c>
      <c r="M25" s="12">
        <v>11</v>
      </c>
      <c r="N25" s="12">
        <v>12</v>
      </c>
      <c r="O25" s="12">
        <v>13</v>
      </c>
      <c r="P25" s="12">
        <v>14</v>
      </c>
      <c r="Q25" s="12">
        <v>15</v>
      </c>
      <c r="R25" s="12">
        <v>16</v>
      </c>
      <c r="S25" s="12">
        <v>17</v>
      </c>
      <c r="T25" s="12">
        <v>18</v>
      </c>
      <c r="U25" s="12">
        <v>19</v>
      </c>
      <c r="V25" s="12">
        <v>20</v>
      </c>
      <c r="W25" s="12">
        <v>21</v>
      </c>
      <c r="X25" s="12">
        <v>22</v>
      </c>
      <c r="Y25" s="12">
        <v>23</v>
      </c>
      <c r="Z25" s="12">
        <v>24</v>
      </c>
      <c r="AA25" s="12">
        <v>25</v>
      </c>
      <c r="AB25" s="12">
        <v>26</v>
      </c>
      <c r="AC25" s="12">
        <v>27</v>
      </c>
      <c r="AD25" s="12">
        <v>28</v>
      </c>
      <c r="AE25" s="12">
        <v>29</v>
      </c>
      <c r="AF25" s="12">
        <v>30</v>
      </c>
      <c r="AG25" s="12"/>
      <c r="AH25" s="12"/>
    </row>
    <row r="26" spans="1:34" ht="12.75">
      <c r="A26" s="12">
        <v>1</v>
      </c>
      <c r="B26" s="12"/>
      <c r="C26" s="15" t="s">
        <v>158</v>
      </c>
      <c r="D26" s="15"/>
      <c r="E26" s="15"/>
      <c r="F26" s="15" t="s">
        <v>158</v>
      </c>
      <c r="G26" s="15"/>
      <c r="H26" s="15"/>
      <c r="I26" s="15" t="s">
        <v>158</v>
      </c>
      <c r="J26" s="15"/>
      <c r="K26" s="15"/>
      <c r="L26" s="15"/>
      <c r="M26" s="15" t="s">
        <v>158</v>
      </c>
      <c r="N26" s="15"/>
      <c r="O26" s="15"/>
      <c r="P26" s="15" t="s">
        <v>158</v>
      </c>
      <c r="Q26" s="15" t="s">
        <v>158</v>
      </c>
      <c r="R26" s="15" t="s">
        <v>158</v>
      </c>
      <c r="S26" s="15"/>
      <c r="T26" s="15"/>
      <c r="U26" s="15"/>
      <c r="V26" s="15" t="s">
        <v>158</v>
      </c>
      <c r="W26" s="15"/>
      <c r="X26" s="15" t="s">
        <v>158</v>
      </c>
      <c r="Y26" s="15"/>
      <c r="Z26" s="15" t="s">
        <v>158</v>
      </c>
      <c r="AA26" s="15"/>
      <c r="AB26" s="15"/>
      <c r="AC26" s="15" t="s">
        <v>158</v>
      </c>
      <c r="AD26" s="15"/>
      <c r="AE26" s="15"/>
      <c r="AF26" s="15" t="s">
        <v>158</v>
      </c>
      <c r="AG26" s="12">
        <f>$D$43*$B$41</f>
        <v>162.5</v>
      </c>
      <c r="AH26" s="12"/>
    </row>
    <row r="27" spans="1:34" ht="12.75">
      <c r="A27" s="12">
        <v>2</v>
      </c>
      <c r="B27" s="12"/>
      <c r="C27" s="16"/>
      <c r="D27" s="16" t="s">
        <v>158</v>
      </c>
      <c r="E27" s="16"/>
      <c r="F27" s="16"/>
      <c r="G27" s="16" t="s">
        <v>158</v>
      </c>
      <c r="H27" s="16" t="s">
        <v>158</v>
      </c>
      <c r="I27" s="16"/>
      <c r="J27" s="16" t="s">
        <v>158</v>
      </c>
      <c r="K27" s="16"/>
      <c r="L27" s="16" t="s">
        <v>158</v>
      </c>
      <c r="M27" s="16"/>
      <c r="N27" s="16" t="s">
        <v>158</v>
      </c>
      <c r="O27" s="16"/>
      <c r="P27" s="16"/>
      <c r="Q27" s="16"/>
      <c r="R27" s="16"/>
      <c r="S27" s="16" t="s">
        <v>158</v>
      </c>
      <c r="T27" s="16" t="s">
        <v>158</v>
      </c>
      <c r="U27" s="16"/>
      <c r="V27" s="16"/>
      <c r="W27" s="16" t="s">
        <v>158</v>
      </c>
      <c r="X27" s="16"/>
      <c r="Y27" s="16" t="s">
        <v>158</v>
      </c>
      <c r="Z27" s="16"/>
      <c r="AA27" s="16" t="s">
        <v>158</v>
      </c>
      <c r="AB27" s="16"/>
      <c r="AC27" s="16"/>
      <c r="AD27" s="16" t="s">
        <v>158</v>
      </c>
      <c r="AE27" s="16"/>
      <c r="AF27" s="16"/>
      <c r="AG27" s="12">
        <f aca="true" t="shared" si="0" ref="AG27:AG32">$D$43*$B$41</f>
        <v>162.5</v>
      </c>
      <c r="AH27" s="12"/>
    </row>
    <row r="28" spans="1:34" ht="12.75">
      <c r="A28" s="12">
        <v>3</v>
      </c>
      <c r="B28" s="12"/>
      <c r="C28" s="17" t="s">
        <v>158</v>
      </c>
      <c r="D28" s="17"/>
      <c r="E28" s="17"/>
      <c r="F28" s="17" t="s">
        <v>158</v>
      </c>
      <c r="G28" s="17"/>
      <c r="H28" s="17"/>
      <c r="I28" s="17" t="s">
        <v>158</v>
      </c>
      <c r="J28" s="17"/>
      <c r="K28" s="17"/>
      <c r="L28" s="17"/>
      <c r="M28" s="17"/>
      <c r="N28" s="17"/>
      <c r="O28" s="17" t="s">
        <v>158</v>
      </c>
      <c r="P28" s="17" t="s">
        <v>158</v>
      </c>
      <c r="Q28" s="17"/>
      <c r="R28" s="17" t="s">
        <v>158</v>
      </c>
      <c r="S28" s="17"/>
      <c r="T28" s="17"/>
      <c r="U28" s="17" t="s">
        <v>158</v>
      </c>
      <c r="V28" s="17"/>
      <c r="W28" s="17" t="s">
        <v>158</v>
      </c>
      <c r="X28" s="17"/>
      <c r="Y28" s="17" t="s">
        <v>158</v>
      </c>
      <c r="Z28" s="17"/>
      <c r="AA28" s="17"/>
      <c r="AB28" s="17" t="s">
        <v>158</v>
      </c>
      <c r="AC28" s="17"/>
      <c r="AD28" s="17" t="s">
        <v>158</v>
      </c>
      <c r="AE28" s="17" t="s">
        <v>158</v>
      </c>
      <c r="AF28" s="17"/>
      <c r="AG28" s="12">
        <f t="shared" si="0"/>
        <v>162.5</v>
      </c>
      <c r="AH28" s="12"/>
    </row>
    <row r="29" spans="1:34" ht="12.75">
      <c r="A29" s="12">
        <v>4</v>
      </c>
      <c r="B29" s="12"/>
      <c r="C29" s="6"/>
      <c r="D29" s="6" t="s">
        <v>158</v>
      </c>
      <c r="E29" s="6" t="s">
        <v>158</v>
      </c>
      <c r="F29" s="6"/>
      <c r="G29" s="6"/>
      <c r="H29" s="6" t="s">
        <v>158</v>
      </c>
      <c r="I29" s="6"/>
      <c r="J29" s="6"/>
      <c r="K29" s="6" t="s">
        <v>158</v>
      </c>
      <c r="L29" s="6"/>
      <c r="M29" s="6"/>
      <c r="N29" s="6" t="s">
        <v>158</v>
      </c>
      <c r="O29" s="6"/>
      <c r="P29" s="6" t="s">
        <v>158</v>
      </c>
      <c r="Q29" s="6"/>
      <c r="R29" s="6"/>
      <c r="S29" s="6" t="s">
        <v>158</v>
      </c>
      <c r="T29" s="6"/>
      <c r="U29" s="6"/>
      <c r="V29" s="6" t="s">
        <v>158</v>
      </c>
      <c r="W29" s="6"/>
      <c r="X29" s="6"/>
      <c r="Y29" s="6"/>
      <c r="Z29" s="6" t="s">
        <v>158</v>
      </c>
      <c r="AA29" s="6"/>
      <c r="AB29" s="6"/>
      <c r="AC29" s="6" t="s">
        <v>158</v>
      </c>
      <c r="AD29" s="6"/>
      <c r="AE29" s="6"/>
      <c r="AF29" s="6" t="s">
        <v>158</v>
      </c>
      <c r="AG29" s="12">
        <f t="shared" si="0"/>
        <v>162.5</v>
      </c>
      <c r="AH29" s="12"/>
    </row>
    <row r="30" spans="1:34" ht="12.75">
      <c r="A30" s="12">
        <v>5</v>
      </c>
      <c r="B30" s="12"/>
      <c r="C30" s="18"/>
      <c r="D30" s="18"/>
      <c r="E30" s="18"/>
      <c r="F30" s="18"/>
      <c r="G30" s="18" t="s">
        <v>158</v>
      </c>
      <c r="H30" s="18"/>
      <c r="I30" s="18"/>
      <c r="J30" s="18" t="s">
        <v>158</v>
      </c>
      <c r="K30" s="18"/>
      <c r="L30" s="18" t="s">
        <v>158</v>
      </c>
      <c r="M30" s="18" t="s">
        <v>158</v>
      </c>
      <c r="N30" s="18"/>
      <c r="O30" s="18" t="s">
        <v>158</v>
      </c>
      <c r="P30" s="18"/>
      <c r="Q30" s="18" t="s">
        <v>158</v>
      </c>
      <c r="R30" s="18" t="s">
        <v>158</v>
      </c>
      <c r="S30" s="18"/>
      <c r="T30" s="18"/>
      <c r="U30" s="18" t="s">
        <v>158</v>
      </c>
      <c r="V30" s="18"/>
      <c r="W30" s="18" t="s">
        <v>158</v>
      </c>
      <c r="X30" s="18"/>
      <c r="Y30" s="18"/>
      <c r="Z30" s="18" t="s">
        <v>158</v>
      </c>
      <c r="AA30" s="18" t="s">
        <v>167</v>
      </c>
      <c r="AB30" s="18" t="s">
        <v>167</v>
      </c>
      <c r="AC30" s="18" t="s">
        <v>167</v>
      </c>
      <c r="AD30" s="18" t="s">
        <v>158</v>
      </c>
      <c r="AE30" s="18" t="s">
        <v>158</v>
      </c>
      <c r="AF30" s="18" t="s">
        <v>167</v>
      </c>
      <c r="AG30" s="12">
        <f>D45*B41</f>
        <v>126.3888888888889</v>
      </c>
      <c r="AH30" s="12"/>
    </row>
    <row r="31" spans="1:34" ht="12.75">
      <c r="A31" s="12">
        <v>6</v>
      </c>
      <c r="B31" s="12" t="s">
        <v>216</v>
      </c>
      <c r="C31" s="14" t="s">
        <v>159</v>
      </c>
      <c r="D31" s="14" t="s">
        <v>159</v>
      </c>
      <c r="E31" s="14" t="s">
        <v>158</v>
      </c>
      <c r="F31" s="14" t="s">
        <v>159</v>
      </c>
      <c r="G31" s="14" t="s">
        <v>159</v>
      </c>
      <c r="H31" s="14" t="s">
        <v>159</v>
      </c>
      <c r="I31" s="14" t="s">
        <v>159</v>
      </c>
      <c r="J31" s="14" t="s">
        <v>159</v>
      </c>
      <c r="K31" s="14" t="s">
        <v>158</v>
      </c>
      <c r="L31" s="14" t="s">
        <v>159</v>
      </c>
      <c r="M31" s="14" t="s">
        <v>159</v>
      </c>
      <c r="N31" s="14" t="s">
        <v>159</v>
      </c>
      <c r="O31" s="14" t="s">
        <v>158</v>
      </c>
      <c r="P31" s="14" t="s">
        <v>159</v>
      </c>
      <c r="Q31" s="14" t="s">
        <v>159</v>
      </c>
      <c r="R31" s="14" t="s">
        <v>159</v>
      </c>
      <c r="S31" s="14" t="s">
        <v>158</v>
      </c>
      <c r="T31" s="14" t="s">
        <v>158</v>
      </c>
      <c r="U31" s="14" t="s">
        <v>158</v>
      </c>
      <c r="V31" s="14" t="s">
        <v>159</v>
      </c>
      <c r="W31" s="14" t="s">
        <v>158</v>
      </c>
      <c r="X31" s="14" t="s">
        <v>159</v>
      </c>
      <c r="Y31" s="14" t="s">
        <v>158</v>
      </c>
      <c r="Z31" s="14" t="s">
        <v>159</v>
      </c>
      <c r="AA31" s="14" t="s">
        <v>158</v>
      </c>
      <c r="AB31" s="14" t="s">
        <v>158</v>
      </c>
      <c r="AC31" s="14" t="s">
        <v>159</v>
      </c>
      <c r="AD31" s="14" t="s">
        <v>158</v>
      </c>
      <c r="AE31" s="14" t="s">
        <v>158</v>
      </c>
      <c r="AF31" s="14" t="s">
        <v>159</v>
      </c>
      <c r="AG31" s="12">
        <f t="shared" si="0"/>
        <v>162.5</v>
      </c>
      <c r="AH31" s="12"/>
    </row>
    <row r="32" spans="1:34" ht="12.75">
      <c r="A32" s="12">
        <v>7</v>
      </c>
      <c r="B32" s="12" t="s">
        <v>216</v>
      </c>
      <c r="C32" s="14" t="s">
        <v>159</v>
      </c>
      <c r="D32" s="14" t="s">
        <v>159</v>
      </c>
      <c r="E32" s="14" t="s">
        <v>159</v>
      </c>
      <c r="F32" s="14" t="s">
        <v>159</v>
      </c>
      <c r="G32" s="14" t="s">
        <v>158</v>
      </c>
      <c r="H32" s="14" t="s">
        <v>159</v>
      </c>
      <c r="I32" s="14" t="s">
        <v>159</v>
      </c>
      <c r="J32" s="14" t="s">
        <v>158</v>
      </c>
      <c r="K32" s="14" t="s">
        <v>158</v>
      </c>
      <c r="L32" s="14" t="s">
        <v>158</v>
      </c>
      <c r="M32" s="14" t="s">
        <v>158</v>
      </c>
      <c r="N32" s="14" t="s">
        <v>158</v>
      </c>
      <c r="O32" s="14" t="s">
        <v>159</v>
      </c>
      <c r="P32" s="14" t="s">
        <v>159</v>
      </c>
      <c r="Q32" s="14" t="s">
        <v>158</v>
      </c>
      <c r="R32" s="14" t="s">
        <v>159</v>
      </c>
      <c r="S32" s="14" t="s">
        <v>159</v>
      </c>
      <c r="T32" s="14" t="s">
        <v>159</v>
      </c>
      <c r="U32" s="14" t="s">
        <v>159</v>
      </c>
      <c r="V32" s="14" t="s">
        <v>158</v>
      </c>
      <c r="W32" s="14" t="s">
        <v>159</v>
      </c>
      <c r="X32" s="14" t="s">
        <v>158</v>
      </c>
      <c r="Y32" s="14" t="s">
        <v>159</v>
      </c>
      <c r="Z32" s="14" t="s">
        <v>158</v>
      </c>
      <c r="AA32" s="14" t="s">
        <v>159</v>
      </c>
      <c r="AB32" s="14" t="s">
        <v>159</v>
      </c>
      <c r="AC32" s="14" t="s">
        <v>158</v>
      </c>
      <c r="AD32" s="14" t="s">
        <v>159</v>
      </c>
      <c r="AE32" s="14" t="s">
        <v>159</v>
      </c>
      <c r="AF32" s="14" t="s">
        <v>158</v>
      </c>
      <c r="AG32" s="12">
        <f t="shared" si="0"/>
        <v>162.5</v>
      </c>
      <c r="AH32" s="12"/>
    </row>
    <row r="33" spans="1:34" ht="12.75">
      <c r="A33" s="12">
        <v>8</v>
      </c>
      <c r="B33" s="12" t="s">
        <v>216</v>
      </c>
      <c r="C33" s="14" t="s">
        <v>167</v>
      </c>
      <c r="D33" s="14" t="s">
        <v>167</v>
      </c>
      <c r="E33" s="14" t="s">
        <v>167</v>
      </c>
      <c r="F33" s="14" t="s">
        <v>158</v>
      </c>
      <c r="G33" s="14" t="s">
        <v>158</v>
      </c>
      <c r="H33" s="14" t="s">
        <v>167</v>
      </c>
      <c r="I33" s="14"/>
      <c r="J33" s="14" t="s">
        <v>158</v>
      </c>
      <c r="K33" s="14" t="s">
        <v>159</v>
      </c>
      <c r="L33" s="14" t="s">
        <v>158</v>
      </c>
      <c r="M33" s="14" t="s">
        <v>158</v>
      </c>
      <c r="N33" s="14" t="s">
        <v>159</v>
      </c>
      <c r="O33" s="14" t="s">
        <v>158</v>
      </c>
      <c r="P33" s="14" t="s">
        <v>159</v>
      </c>
      <c r="Q33" s="14" t="s">
        <v>167</v>
      </c>
      <c r="R33" s="14" t="s">
        <v>158</v>
      </c>
      <c r="S33" s="14" t="s">
        <v>159</v>
      </c>
      <c r="T33" s="14" t="s">
        <v>167</v>
      </c>
      <c r="U33" s="14" t="s">
        <v>158</v>
      </c>
      <c r="V33" s="14" t="s">
        <v>159</v>
      </c>
      <c r="W33" s="14" t="s">
        <v>159</v>
      </c>
      <c r="X33" s="14" t="s">
        <v>158</v>
      </c>
      <c r="Y33" s="14" t="s">
        <v>159</v>
      </c>
      <c r="Z33" s="14" t="s">
        <v>159</v>
      </c>
      <c r="AA33" s="14" t="s">
        <v>167</v>
      </c>
      <c r="AB33" s="14" t="s">
        <v>158</v>
      </c>
      <c r="AC33" s="14" t="s">
        <v>159</v>
      </c>
      <c r="AD33" s="14" t="s">
        <v>159</v>
      </c>
      <c r="AE33" s="14" t="s">
        <v>158</v>
      </c>
      <c r="AF33" s="14" t="s">
        <v>159</v>
      </c>
      <c r="AG33" s="12">
        <f>11*B41</f>
        <v>99.30555555555557</v>
      </c>
      <c r="AH33" s="12"/>
    </row>
    <row r="34" spans="1:34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</row>
    <row r="35" spans="5:34" ht="12.75"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</row>
    <row r="36" spans="5:34" ht="12.75"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spans="5:34" ht="12.75"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</row>
    <row r="38" spans="5:34" ht="12.75"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</row>
    <row r="39" spans="1:34" ht="12.75">
      <c r="A39" s="12" t="s">
        <v>160</v>
      </c>
      <c r="B39" s="12">
        <f>4*40</f>
        <v>160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</row>
    <row r="40" spans="1:34" ht="12.75">
      <c r="A40" s="12" t="s">
        <v>103</v>
      </c>
      <c r="B40" s="12">
        <f>'пок-ли'!C19</f>
        <v>17.288888888888888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</row>
    <row r="41" spans="1:34" ht="12.75">
      <c r="A41" s="12" t="s">
        <v>161</v>
      </c>
      <c r="B41" s="12">
        <f>'пок-ли'!C20</f>
        <v>9.027777777777779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</row>
    <row r="42" spans="1:34" ht="12.75">
      <c r="A42" s="12" t="s">
        <v>162</v>
      </c>
      <c r="B42" s="12">
        <f>'пок-ли'!C49</f>
        <v>4.463212826587014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</row>
    <row r="43" spans="1:34" ht="12.75">
      <c r="A43" s="12" t="s">
        <v>163</v>
      </c>
      <c r="B43" s="12">
        <f>B39/B41</f>
        <v>17.72307692307692</v>
      </c>
      <c r="C43" s="12" t="s">
        <v>164</v>
      </c>
      <c r="D43" s="12">
        <v>18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</row>
    <row r="44" spans="1:34" ht="12.75">
      <c r="A44" s="12" t="s">
        <v>165</v>
      </c>
      <c r="B44" s="12">
        <f>30-D43</f>
        <v>12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</row>
    <row r="45" spans="1:34" ht="12.75">
      <c r="A45" s="12"/>
      <c r="B45" s="12">
        <f>(B42-4)*30</f>
        <v>13.89638479761043</v>
      </c>
      <c r="C45" s="12" t="s">
        <v>164</v>
      </c>
      <c r="D45" s="12">
        <v>14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</row>
    <row r="46" spans="1:34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</row>
    <row r="47" spans="1:34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</row>
    <row r="48" spans="1:34" ht="12.75">
      <c r="A48" s="12"/>
      <c r="B48" s="12" t="s">
        <v>219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</row>
    <row r="49" spans="1:34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</row>
    <row r="50" spans="1:34" ht="12.75">
      <c r="A50" s="12" t="s">
        <v>155</v>
      </c>
      <c r="B50" s="12" t="s">
        <v>156</v>
      </c>
      <c r="C50" s="12" t="s">
        <v>157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 t="s">
        <v>166</v>
      </c>
      <c r="AH50" s="12"/>
    </row>
    <row r="51" spans="1:34" ht="12.75">
      <c r="A51" s="12"/>
      <c r="B51" s="12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>
        <v>10</v>
      </c>
      <c r="M51" s="12">
        <v>11</v>
      </c>
      <c r="N51" s="12">
        <v>12</v>
      </c>
      <c r="O51" s="12">
        <v>13</v>
      </c>
      <c r="P51" s="12">
        <v>14</v>
      </c>
      <c r="Q51" s="12">
        <v>15</v>
      </c>
      <c r="R51" s="12">
        <v>16</v>
      </c>
      <c r="S51" s="12">
        <v>17</v>
      </c>
      <c r="T51" s="12">
        <v>18</v>
      </c>
      <c r="U51" s="12">
        <v>19</v>
      </c>
      <c r="V51" s="12">
        <v>20</v>
      </c>
      <c r="W51" s="12">
        <v>21</v>
      </c>
      <c r="X51" s="12">
        <v>22</v>
      </c>
      <c r="Y51" s="12">
        <v>23</v>
      </c>
      <c r="Z51" s="12">
        <v>24</v>
      </c>
      <c r="AA51" s="12">
        <v>25</v>
      </c>
      <c r="AB51" s="12">
        <v>26</v>
      </c>
      <c r="AC51" s="12">
        <v>27</v>
      </c>
      <c r="AD51" s="12">
        <v>28</v>
      </c>
      <c r="AE51" s="12">
        <v>29</v>
      </c>
      <c r="AF51" s="12">
        <v>30</v>
      </c>
      <c r="AG51" s="12"/>
      <c r="AH51" s="12"/>
    </row>
    <row r="52" spans="1:34" ht="12.75">
      <c r="A52" s="12">
        <v>1</v>
      </c>
      <c r="B52" s="12"/>
      <c r="C52" s="14" t="s">
        <v>158</v>
      </c>
      <c r="D52" s="14" t="s">
        <v>159</v>
      </c>
      <c r="E52" s="14" t="s">
        <v>159</v>
      </c>
      <c r="F52" s="14" t="s">
        <v>158</v>
      </c>
      <c r="G52" s="14" t="s">
        <v>158</v>
      </c>
      <c r="H52" s="14" t="s">
        <v>159</v>
      </c>
      <c r="I52" s="14" t="s">
        <v>159</v>
      </c>
      <c r="J52" s="14" t="s">
        <v>158</v>
      </c>
      <c r="K52" s="14" t="s">
        <v>158</v>
      </c>
      <c r="L52" s="14" t="s">
        <v>159</v>
      </c>
      <c r="M52" s="14" t="s">
        <v>159</v>
      </c>
      <c r="N52" s="14" t="s">
        <v>158</v>
      </c>
      <c r="O52" s="14" t="s">
        <v>158</v>
      </c>
      <c r="P52" s="14" t="s">
        <v>159</v>
      </c>
      <c r="Q52" s="14" t="s">
        <v>159</v>
      </c>
      <c r="R52" s="14" t="s">
        <v>158</v>
      </c>
      <c r="S52" s="14" t="s">
        <v>158</v>
      </c>
      <c r="T52" s="14" t="s">
        <v>159</v>
      </c>
      <c r="U52" s="14" t="s">
        <v>159</v>
      </c>
      <c r="V52" s="14" t="s">
        <v>158</v>
      </c>
      <c r="W52" s="14" t="s">
        <v>158</v>
      </c>
      <c r="X52" s="14" t="s">
        <v>159</v>
      </c>
      <c r="Y52" s="14" t="s">
        <v>159</v>
      </c>
      <c r="Z52" s="14" t="s">
        <v>158</v>
      </c>
      <c r="AA52" s="14" t="s">
        <v>158</v>
      </c>
      <c r="AB52" s="14" t="s">
        <v>159</v>
      </c>
      <c r="AC52" s="14" t="s">
        <v>159</v>
      </c>
      <c r="AD52" s="14" t="s">
        <v>158</v>
      </c>
      <c r="AE52" s="14" t="s">
        <v>158</v>
      </c>
      <c r="AF52" s="14" t="s">
        <v>159</v>
      </c>
      <c r="AG52" s="12">
        <f>B56</f>
        <v>120</v>
      </c>
      <c r="AH52" s="12"/>
    </row>
    <row r="53" spans="1:34" ht="12.75">
      <c r="A53" s="12"/>
      <c r="B53" s="12"/>
      <c r="C53" s="14" t="s">
        <v>159</v>
      </c>
      <c r="D53" s="14" t="s">
        <v>158</v>
      </c>
      <c r="E53" s="14" t="s">
        <v>158</v>
      </c>
      <c r="F53" s="14" t="s">
        <v>159</v>
      </c>
      <c r="G53" s="14" t="s">
        <v>159</v>
      </c>
      <c r="H53" s="14" t="s">
        <v>158</v>
      </c>
      <c r="I53" s="14" t="s">
        <v>158</v>
      </c>
      <c r="J53" s="14" t="s">
        <v>159</v>
      </c>
      <c r="K53" s="14" t="s">
        <v>159</v>
      </c>
      <c r="L53" s="14" t="s">
        <v>158</v>
      </c>
      <c r="M53" s="14" t="s">
        <v>158</v>
      </c>
      <c r="N53" s="14" t="s">
        <v>159</v>
      </c>
      <c r="O53" s="14" t="s">
        <v>159</v>
      </c>
      <c r="P53" s="14" t="s">
        <v>158</v>
      </c>
      <c r="Q53" s="14" t="s">
        <v>158</v>
      </c>
      <c r="R53" s="14" t="s">
        <v>159</v>
      </c>
      <c r="S53" s="14" t="s">
        <v>159</v>
      </c>
      <c r="T53" s="14" t="s">
        <v>158</v>
      </c>
      <c r="U53" s="14" t="s">
        <v>158</v>
      </c>
      <c r="V53" s="14" t="s">
        <v>159</v>
      </c>
      <c r="W53" s="14" t="s">
        <v>159</v>
      </c>
      <c r="X53" s="14" t="s">
        <v>158</v>
      </c>
      <c r="Y53" s="14" t="s">
        <v>158</v>
      </c>
      <c r="Z53" s="14" t="s">
        <v>159</v>
      </c>
      <c r="AA53" s="14" t="s">
        <v>159</v>
      </c>
      <c r="AB53" s="14" t="s">
        <v>158</v>
      </c>
      <c r="AC53" s="14" t="s">
        <v>158</v>
      </c>
      <c r="AD53" s="14" t="s">
        <v>159</v>
      </c>
      <c r="AE53" s="14" t="s">
        <v>159</v>
      </c>
      <c r="AF53" s="14" t="s">
        <v>158</v>
      </c>
      <c r="AG53" s="12">
        <v>120</v>
      </c>
      <c r="AH53" s="12"/>
    </row>
    <row r="54" spans="1:34" ht="12.75">
      <c r="A54" s="12"/>
      <c r="B54" s="12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2"/>
      <c r="AH54" s="12"/>
    </row>
    <row r="55" spans="1:34" ht="12.75">
      <c r="A55" s="12"/>
      <c r="B55" s="12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2"/>
      <c r="AH55" s="12"/>
    </row>
    <row r="56" spans="1:34" ht="12.75">
      <c r="A56" s="12" t="s">
        <v>160</v>
      </c>
      <c r="B56" s="12">
        <f>B60*B57</f>
        <v>120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</row>
    <row r="57" spans="1:34" ht="12.75">
      <c r="A57" s="12" t="s">
        <v>103</v>
      </c>
      <c r="B57" s="12">
        <v>8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</row>
    <row r="58" spans="1:34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</row>
    <row r="59" spans="1:34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</row>
    <row r="60" spans="1:34" ht="12.75">
      <c r="A60" s="12" t="s">
        <v>163</v>
      </c>
      <c r="B60" s="12">
        <v>15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</row>
    <row r="61" spans="1:34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</row>
    <row r="62" spans="1:34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</row>
    <row r="63" spans="1:34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</row>
    <row r="64" spans="1:34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</row>
    <row r="65" spans="1:34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</row>
    <row r="66" spans="1:34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</row>
    <row r="67" spans="1:34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</row>
    <row r="68" spans="1:34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</row>
    <row r="69" spans="1:34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</row>
    <row r="70" spans="1:34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</row>
    <row r="71" spans="1:34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</row>
    <row r="72" spans="1:34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</row>
    <row r="73" spans="1:34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</row>
    <row r="74" spans="1:34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</row>
    <row r="75" spans="1:34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</row>
    <row r="76" spans="1:34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</row>
    <row r="77" spans="1:34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</row>
    <row r="78" spans="1:34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</row>
    <row r="79" spans="1:34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</row>
    <row r="80" spans="1:34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</row>
    <row r="81" spans="1:34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</row>
    <row r="82" spans="1:34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</row>
    <row r="83" spans="1:34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</row>
    <row r="84" spans="1:34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</row>
    <row r="85" spans="1:34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</row>
    <row r="86" spans="1:34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</row>
    <row r="87" spans="1:34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</row>
    <row r="88" spans="1:34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</row>
    <row r="89" spans="1:34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</row>
    <row r="90" spans="1:34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</row>
    <row r="91" spans="1:34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</row>
    <row r="92" spans="1:34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</row>
    <row r="93" spans="1:34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</row>
    <row r="94" spans="1:34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</row>
    <row r="95" spans="1:34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</row>
    <row r="96" spans="1:34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</row>
    <row r="97" spans="1:34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</row>
    <row r="98" spans="1:34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</row>
    <row r="99" spans="1:34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</row>
    <row r="100" spans="1:34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</row>
    <row r="101" spans="1:34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H5" sqref="H5"/>
    </sheetView>
  </sheetViews>
  <sheetFormatPr defaultColWidth="9.00390625" defaultRowHeight="12.75"/>
  <cols>
    <col min="1" max="1" width="18.625" style="0" customWidth="1"/>
    <col min="5" max="5" width="14.25390625" style="0" customWidth="1"/>
    <col min="6" max="6" width="20.625" style="0" customWidth="1"/>
    <col min="7" max="7" width="13.125" style="0" customWidth="1"/>
    <col min="17" max="17" width="10.625" style="0" customWidth="1"/>
  </cols>
  <sheetData>
    <row r="1" spans="1:3" ht="12.75">
      <c r="A1" t="s">
        <v>65</v>
      </c>
      <c r="B1" t="s">
        <v>184</v>
      </c>
      <c r="C1">
        <f>'пок-ли'!C51</f>
        <v>0.6124138461538463</v>
      </c>
    </row>
    <row r="2" spans="2:3" ht="12.75">
      <c r="B2" t="s">
        <v>162</v>
      </c>
      <c r="C2">
        <f>'пок-ли'!C49</f>
        <v>4.463212826587014</v>
      </c>
    </row>
    <row r="3" ht="12.75">
      <c r="C3">
        <f>C1*C2</f>
        <v>2.7333333333333334</v>
      </c>
    </row>
    <row r="4" spans="2:7" ht="12.75">
      <c r="B4" t="s">
        <v>168</v>
      </c>
      <c r="C4" t="s">
        <v>177</v>
      </c>
      <c r="D4" t="s">
        <v>183</v>
      </c>
      <c r="E4" t="s">
        <v>169</v>
      </c>
      <c r="F4" t="s">
        <v>9</v>
      </c>
      <c r="G4" t="s">
        <v>185</v>
      </c>
    </row>
    <row r="5" spans="1:7" ht="12.75">
      <c r="A5" t="s">
        <v>178</v>
      </c>
      <c r="B5">
        <v>45</v>
      </c>
      <c r="C5">
        <f>F5/B5</f>
        <v>0.4444444444444444</v>
      </c>
      <c r="D5">
        <v>53</v>
      </c>
      <c r="E5">
        <v>5</v>
      </c>
      <c r="F5">
        <v>20</v>
      </c>
      <c r="G5">
        <f>E5+$C$3</f>
        <v>7.733333333333333</v>
      </c>
    </row>
    <row r="6" spans="1:7" ht="12.75">
      <c r="A6" t="s">
        <v>171</v>
      </c>
      <c r="B6">
        <v>0</v>
      </c>
      <c r="C6">
        <f>лес!$D$6/2</f>
        <v>0.6333333333333333</v>
      </c>
      <c r="D6">
        <v>33</v>
      </c>
      <c r="E6">
        <f>C5+E5</f>
        <v>5.444444444444445</v>
      </c>
      <c r="F6">
        <v>0</v>
      </c>
      <c r="G6">
        <f aca="true" t="shared" si="0" ref="G6:G36">E6+$C$3</f>
        <v>8.177777777777777</v>
      </c>
    </row>
    <row r="7" spans="1:7" ht="12.75">
      <c r="A7" t="s">
        <v>179</v>
      </c>
      <c r="B7">
        <v>45</v>
      </c>
      <c r="C7">
        <f>F7/B7</f>
        <v>0.7333333333333333</v>
      </c>
      <c r="D7">
        <v>33</v>
      </c>
      <c r="E7">
        <f>C6+E6</f>
        <v>6.0777777777777775</v>
      </c>
      <c r="F7">
        <v>33</v>
      </c>
      <c r="G7">
        <f t="shared" si="0"/>
        <v>8.81111111111111</v>
      </c>
    </row>
    <row r="8" spans="1:7" ht="12.75">
      <c r="A8" t="s">
        <v>172</v>
      </c>
      <c r="B8">
        <v>0</v>
      </c>
      <c r="C8">
        <f>$C$6</f>
        <v>0.6333333333333333</v>
      </c>
      <c r="D8">
        <v>0</v>
      </c>
      <c r="E8">
        <f>C7+E7</f>
        <v>6.811111111111111</v>
      </c>
      <c r="F8">
        <v>0</v>
      </c>
      <c r="G8">
        <f t="shared" si="0"/>
        <v>9.544444444444444</v>
      </c>
    </row>
    <row r="9" spans="1:7" ht="12.75">
      <c r="A9" t="s">
        <v>180</v>
      </c>
      <c r="B9">
        <v>45</v>
      </c>
      <c r="C9">
        <f>F9/B9</f>
        <v>0.7333333333333333</v>
      </c>
      <c r="D9">
        <v>0</v>
      </c>
      <c r="E9">
        <f>C8+E8</f>
        <v>7.444444444444445</v>
      </c>
      <c r="F9">
        <v>33</v>
      </c>
      <c r="G9">
        <f t="shared" si="0"/>
        <v>10.177777777777777</v>
      </c>
    </row>
    <row r="10" spans="1:7" ht="12.75">
      <c r="A10" t="s">
        <v>171</v>
      </c>
      <c r="B10">
        <v>0</v>
      </c>
      <c r="C10">
        <f>лес!$D$6/2</f>
        <v>0.6333333333333333</v>
      </c>
      <c r="D10">
        <v>33</v>
      </c>
      <c r="E10">
        <f>C9+E9</f>
        <v>8.177777777777777</v>
      </c>
      <c r="F10">
        <v>0</v>
      </c>
      <c r="G10">
        <f t="shared" si="0"/>
        <v>10.911111111111111</v>
      </c>
    </row>
    <row r="11" spans="1:7" ht="12.75">
      <c r="A11" t="s">
        <v>170</v>
      </c>
      <c r="B11">
        <v>0</v>
      </c>
      <c r="C11">
        <v>1</v>
      </c>
      <c r="D11">
        <v>33</v>
      </c>
      <c r="E11">
        <f>E10+C10</f>
        <v>8.81111111111111</v>
      </c>
      <c r="F11">
        <v>0</v>
      </c>
      <c r="G11">
        <f t="shared" si="0"/>
        <v>11.544444444444444</v>
      </c>
    </row>
    <row r="12" spans="1:7" ht="12.75">
      <c r="A12" t="s">
        <v>179</v>
      </c>
      <c r="B12">
        <v>45</v>
      </c>
      <c r="C12">
        <f>F12/B12</f>
        <v>0.7333333333333333</v>
      </c>
      <c r="D12">
        <v>33</v>
      </c>
      <c r="E12">
        <f>C11+E11</f>
        <v>9.81111111111111</v>
      </c>
      <c r="F12">
        <v>33</v>
      </c>
      <c r="G12">
        <f t="shared" si="0"/>
        <v>12.544444444444444</v>
      </c>
    </row>
    <row r="13" spans="1:7" ht="12.75">
      <c r="A13" t="s">
        <v>172</v>
      </c>
      <c r="B13">
        <v>0</v>
      </c>
      <c r="C13">
        <f>$C$6</f>
        <v>0.6333333333333333</v>
      </c>
      <c r="D13">
        <v>0</v>
      </c>
      <c r="E13">
        <f>C12+E12</f>
        <v>10.544444444444443</v>
      </c>
      <c r="F13">
        <v>0</v>
      </c>
      <c r="G13">
        <f t="shared" si="0"/>
        <v>13.277777777777775</v>
      </c>
    </row>
    <row r="14" spans="1:7" ht="12.75">
      <c r="A14" t="s">
        <v>180</v>
      </c>
      <c r="B14">
        <v>45</v>
      </c>
      <c r="C14">
        <f>F14/B14</f>
        <v>0.7333333333333333</v>
      </c>
      <c r="D14">
        <v>0</v>
      </c>
      <c r="E14">
        <f>C13+E13</f>
        <v>11.177777777777775</v>
      </c>
      <c r="F14">
        <v>33</v>
      </c>
      <c r="G14">
        <f t="shared" si="0"/>
        <v>13.911111111111108</v>
      </c>
    </row>
    <row r="15" spans="1:7" ht="12.75">
      <c r="A15" t="s">
        <v>171</v>
      </c>
      <c r="B15">
        <v>0</v>
      </c>
      <c r="C15">
        <f>лес!$D$6/2</f>
        <v>0.6333333333333333</v>
      </c>
      <c r="D15">
        <v>33</v>
      </c>
      <c r="E15">
        <f>E14+C14</f>
        <v>11.911111111111108</v>
      </c>
      <c r="F15">
        <v>0</v>
      </c>
      <c r="G15">
        <f t="shared" si="0"/>
        <v>14.644444444444442</v>
      </c>
    </row>
    <row r="16" spans="1:7" ht="12.75">
      <c r="A16" t="s">
        <v>179</v>
      </c>
      <c r="B16">
        <v>45</v>
      </c>
      <c r="C16">
        <f>F16/B16</f>
        <v>0.7333333333333333</v>
      </c>
      <c r="D16">
        <v>33</v>
      </c>
      <c r="E16">
        <f>C15+E15</f>
        <v>12.54444444444444</v>
      </c>
      <c r="F16">
        <v>33</v>
      </c>
      <c r="G16">
        <f t="shared" si="0"/>
        <v>15.277777777777775</v>
      </c>
    </row>
    <row r="17" spans="1:7" ht="12.75">
      <c r="A17" t="s">
        <v>172</v>
      </c>
      <c r="B17">
        <v>0</v>
      </c>
      <c r="C17">
        <f>$C$6</f>
        <v>0.6333333333333333</v>
      </c>
      <c r="D17">
        <v>0</v>
      </c>
      <c r="E17">
        <f>C16+E16</f>
        <v>13.277777777777773</v>
      </c>
      <c r="F17">
        <v>0</v>
      </c>
      <c r="G17">
        <f t="shared" si="0"/>
        <v>16.011111111111106</v>
      </c>
    </row>
    <row r="18" spans="1:7" ht="12.75">
      <c r="A18" t="s">
        <v>180</v>
      </c>
      <c r="B18">
        <v>45</v>
      </c>
      <c r="C18">
        <f>F18/B18</f>
        <v>0.7333333333333333</v>
      </c>
      <c r="D18">
        <v>0</v>
      </c>
      <c r="E18">
        <f aca="true" t="shared" si="1" ref="E18:E35">E17+C17</f>
        <v>13.911111111111106</v>
      </c>
      <c r="F18">
        <v>33</v>
      </c>
      <c r="G18">
        <f t="shared" si="0"/>
        <v>16.64444444444444</v>
      </c>
    </row>
    <row r="19" spans="1:7" ht="12.75">
      <c r="A19" t="s">
        <v>182</v>
      </c>
      <c r="B19">
        <v>45</v>
      </c>
      <c r="C19">
        <f>F19/B19</f>
        <v>0.4444444444444444</v>
      </c>
      <c r="D19">
        <v>33</v>
      </c>
      <c r="E19">
        <f t="shared" si="1"/>
        <v>14.644444444444439</v>
      </c>
      <c r="F19">
        <v>20</v>
      </c>
      <c r="G19">
        <f t="shared" si="0"/>
        <v>17.377777777777773</v>
      </c>
    </row>
    <row r="20" spans="1:7" ht="12.75">
      <c r="A20" t="s">
        <v>181</v>
      </c>
      <c r="B20">
        <v>0</v>
      </c>
      <c r="C20">
        <f>5/60</f>
        <v>0.08333333333333333</v>
      </c>
      <c r="D20">
        <v>53</v>
      </c>
      <c r="E20">
        <f t="shared" si="1"/>
        <v>15.088888888888883</v>
      </c>
      <c r="F20">
        <v>0</v>
      </c>
      <c r="G20">
        <f t="shared" si="0"/>
        <v>17.822222222222216</v>
      </c>
    </row>
    <row r="21" spans="1:7" ht="12.75">
      <c r="A21" t="s">
        <v>178</v>
      </c>
      <c r="B21">
        <v>45</v>
      </c>
      <c r="C21">
        <f>F21/B21</f>
        <v>0.4444444444444444</v>
      </c>
      <c r="D21">
        <v>53</v>
      </c>
      <c r="E21">
        <f t="shared" si="1"/>
        <v>15.172222222222217</v>
      </c>
      <c r="F21">
        <v>20</v>
      </c>
      <c r="G21">
        <f t="shared" si="0"/>
        <v>17.90555555555555</v>
      </c>
    </row>
    <row r="22" spans="1:7" ht="12.75">
      <c r="A22" t="s">
        <v>171</v>
      </c>
      <c r="B22">
        <v>0</v>
      </c>
      <c r="C22">
        <f>лес!$D$6/2</f>
        <v>0.6333333333333333</v>
      </c>
      <c r="D22">
        <v>33</v>
      </c>
      <c r="E22">
        <f t="shared" si="1"/>
        <v>15.616666666666662</v>
      </c>
      <c r="F22">
        <v>0</v>
      </c>
      <c r="G22">
        <f t="shared" si="0"/>
        <v>18.349999999999994</v>
      </c>
    </row>
    <row r="23" spans="1:7" ht="12.75">
      <c r="A23" t="s">
        <v>179</v>
      </c>
      <c r="B23">
        <v>45</v>
      </c>
      <c r="C23">
        <f>F23/B23</f>
        <v>0.7333333333333333</v>
      </c>
      <c r="D23">
        <v>33</v>
      </c>
      <c r="E23">
        <f t="shared" si="1"/>
        <v>16.249999999999996</v>
      </c>
      <c r="F23">
        <v>33</v>
      </c>
      <c r="G23">
        <f t="shared" si="0"/>
        <v>18.98333333333333</v>
      </c>
    </row>
    <row r="24" spans="1:7" ht="12.75">
      <c r="A24" t="s">
        <v>172</v>
      </c>
      <c r="B24">
        <v>0</v>
      </c>
      <c r="C24">
        <f>$C$6</f>
        <v>0.6333333333333333</v>
      </c>
      <c r="D24">
        <v>0</v>
      </c>
      <c r="E24">
        <f t="shared" si="1"/>
        <v>16.98333333333333</v>
      </c>
      <c r="F24">
        <v>0</v>
      </c>
      <c r="G24">
        <f t="shared" si="0"/>
        <v>19.716666666666665</v>
      </c>
    </row>
    <row r="25" spans="1:7" ht="12.75">
      <c r="A25" t="s">
        <v>180</v>
      </c>
      <c r="B25">
        <v>45</v>
      </c>
      <c r="C25">
        <f>F25/B25</f>
        <v>0.7333333333333333</v>
      </c>
      <c r="D25">
        <v>0</v>
      </c>
      <c r="E25">
        <f t="shared" si="1"/>
        <v>17.616666666666664</v>
      </c>
      <c r="F25">
        <v>33</v>
      </c>
      <c r="G25">
        <f t="shared" si="0"/>
        <v>20.349999999999998</v>
      </c>
    </row>
    <row r="26" spans="1:7" ht="12.75">
      <c r="A26" t="s">
        <v>171</v>
      </c>
      <c r="B26">
        <v>0</v>
      </c>
      <c r="C26">
        <f>лес!$D$6/2</f>
        <v>0.6333333333333333</v>
      </c>
      <c r="D26">
        <v>33</v>
      </c>
      <c r="E26">
        <f t="shared" si="1"/>
        <v>18.349999999999998</v>
      </c>
      <c r="F26">
        <v>0</v>
      </c>
      <c r="G26">
        <f t="shared" si="0"/>
        <v>21.083333333333332</v>
      </c>
    </row>
    <row r="27" spans="1:7" ht="12.75">
      <c r="A27" t="s">
        <v>170</v>
      </c>
      <c r="B27">
        <v>0</v>
      </c>
      <c r="C27">
        <v>1</v>
      </c>
      <c r="D27">
        <v>33</v>
      </c>
      <c r="E27">
        <f t="shared" si="1"/>
        <v>18.98333333333333</v>
      </c>
      <c r="F27">
        <v>0</v>
      </c>
      <c r="G27">
        <f t="shared" si="0"/>
        <v>21.716666666666665</v>
      </c>
    </row>
    <row r="28" spans="1:7" ht="12.75">
      <c r="A28" t="s">
        <v>179</v>
      </c>
      <c r="B28">
        <v>45</v>
      </c>
      <c r="C28">
        <f>F28/B28</f>
        <v>0.7333333333333333</v>
      </c>
      <c r="D28">
        <v>33</v>
      </c>
      <c r="E28">
        <f t="shared" si="1"/>
        <v>19.98333333333333</v>
      </c>
      <c r="F28">
        <v>33</v>
      </c>
      <c r="G28">
        <f t="shared" si="0"/>
        <v>22.716666666666665</v>
      </c>
    </row>
    <row r="29" spans="1:7" ht="12.75">
      <c r="A29" t="s">
        <v>172</v>
      </c>
      <c r="B29">
        <v>0</v>
      </c>
      <c r="C29">
        <f>$C$6</f>
        <v>0.6333333333333333</v>
      </c>
      <c r="D29">
        <v>0</v>
      </c>
      <c r="E29">
        <f t="shared" si="1"/>
        <v>20.716666666666665</v>
      </c>
      <c r="F29">
        <v>0</v>
      </c>
      <c r="G29">
        <f t="shared" si="0"/>
        <v>23.45</v>
      </c>
    </row>
    <row r="30" spans="1:7" ht="12.75">
      <c r="A30" t="s">
        <v>180</v>
      </c>
      <c r="B30">
        <v>45</v>
      </c>
      <c r="C30">
        <f>F30/B30</f>
        <v>0.7333333333333333</v>
      </c>
      <c r="D30">
        <v>0</v>
      </c>
      <c r="E30">
        <f t="shared" si="1"/>
        <v>21.349999999999998</v>
      </c>
      <c r="F30">
        <v>33</v>
      </c>
      <c r="G30">
        <f t="shared" si="0"/>
        <v>24.083333333333332</v>
      </c>
    </row>
    <row r="31" spans="1:7" ht="12.75">
      <c r="A31" t="s">
        <v>171</v>
      </c>
      <c r="B31">
        <v>0</v>
      </c>
      <c r="C31">
        <f>лес!$D$6/2</f>
        <v>0.6333333333333333</v>
      </c>
      <c r="D31">
        <v>33</v>
      </c>
      <c r="E31">
        <f t="shared" si="1"/>
        <v>22.083333333333332</v>
      </c>
      <c r="F31">
        <v>0</v>
      </c>
      <c r="G31">
        <f t="shared" si="0"/>
        <v>24.816666666666666</v>
      </c>
    </row>
    <row r="32" spans="1:7" ht="12.75">
      <c r="A32" t="s">
        <v>179</v>
      </c>
      <c r="B32">
        <v>45</v>
      </c>
      <c r="C32">
        <f>F32/B32</f>
        <v>0.7333333333333333</v>
      </c>
      <c r="D32">
        <v>33</v>
      </c>
      <c r="E32">
        <f t="shared" si="1"/>
        <v>22.716666666666665</v>
      </c>
      <c r="F32">
        <v>33</v>
      </c>
      <c r="G32">
        <f t="shared" si="0"/>
        <v>25.45</v>
      </c>
    </row>
    <row r="33" spans="1:7" ht="12.75">
      <c r="A33" t="s">
        <v>172</v>
      </c>
      <c r="B33">
        <v>0</v>
      </c>
      <c r="C33">
        <f>$C$6</f>
        <v>0.6333333333333333</v>
      </c>
      <c r="D33">
        <v>0</v>
      </c>
      <c r="E33">
        <f t="shared" si="1"/>
        <v>23.45</v>
      </c>
      <c r="F33">
        <v>0</v>
      </c>
      <c r="G33">
        <f t="shared" si="0"/>
        <v>26.183333333333334</v>
      </c>
    </row>
    <row r="34" spans="1:7" ht="12.75">
      <c r="A34" t="s">
        <v>180</v>
      </c>
      <c r="B34">
        <v>45</v>
      </c>
      <c r="C34">
        <f>F34/B34</f>
        <v>0.7333333333333333</v>
      </c>
      <c r="D34">
        <v>0</v>
      </c>
      <c r="E34">
        <f t="shared" si="1"/>
        <v>24.083333333333332</v>
      </c>
      <c r="F34">
        <v>33</v>
      </c>
      <c r="G34">
        <f t="shared" si="0"/>
        <v>26.816666666666666</v>
      </c>
    </row>
    <row r="35" spans="1:7" ht="12.75">
      <c r="A35" t="s">
        <v>182</v>
      </c>
      <c r="B35">
        <v>45</v>
      </c>
      <c r="C35">
        <f>F35/B35</f>
        <v>0.4444444444444444</v>
      </c>
      <c r="D35">
        <v>33</v>
      </c>
      <c r="E35">
        <f t="shared" si="1"/>
        <v>24.816666666666666</v>
      </c>
      <c r="F35">
        <v>20</v>
      </c>
      <c r="G35">
        <f t="shared" si="0"/>
        <v>27.55</v>
      </c>
    </row>
    <row r="36" spans="4:7" ht="12.75">
      <c r="D36">
        <v>53</v>
      </c>
      <c r="E36">
        <f>E35+C35</f>
        <v>25.26111111111111</v>
      </c>
      <c r="G36">
        <f t="shared" si="0"/>
        <v>27.994444444444444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44">
      <selection activeCell="I4" sqref="I4"/>
    </sheetView>
  </sheetViews>
  <sheetFormatPr defaultColWidth="9.00390625" defaultRowHeight="12.75"/>
  <cols>
    <col min="1" max="1" width="11.00390625" style="0" customWidth="1"/>
    <col min="6" max="6" width="10.875" style="0" customWidth="1"/>
  </cols>
  <sheetData>
    <row r="1" spans="1:3" ht="12.75">
      <c r="A1" t="s">
        <v>139</v>
      </c>
      <c r="B1" t="s">
        <v>184</v>
      </c>
      <c r="C1">
        <f>'пок-ли'!F51</f>
        <v>0.8428845454545453</v>
      </c>
    </row>
    <row r="2" spans="2:3" ht="12.75">
      <c r="B2" t="s">
        <v>162</v>
      </c>
      <c r="C2">
        <f>'пок-ли'!F49</f>
        <v>2.341646177262616</v>
      </c>
    </row>
    <row r="3" ht="12.75">
      <c r="C3">
        <f>C1*C2</f>
        <v>1.9737373737373736</v>
      </c>
    </row>
    <row r="4" spans="2:7" ht="12.75">
      <c r="B4" t="s">
        <v>168</v>
      </c>
      <c r="C4" t="s">
        <v>177</v>
      </c>
      <c r="D4" t="s">
        <v>183</v>
      </c>
      <c r="E4" t="s">
        <v>169</v>
      </c>
      <c r="F4" t="s">
        <v>9</v>
      </c>
      <c r="G4" t="s">
        <v>185</v>
      </c>
    </row>
    <row r="5" spans="1:7" ht="12.75">
      <c r="A5" t="s">
        <v>171</v>
      </c>
      <c r="B5">
        <v>0</v>
      </c>
      <c r="C5">
        <f>щебень!$D$6/2</f>
        <v>0.21666666666666667</v>
      </c>
      <c r="D5">
        <v>32</v>
      </c>
      <c r="E5">
        <v>5</v>
      </c>
      <c r="F5">
        <v>0</v>
      </c>
      <c r="G5">
        <f>E5+$C$3</f>
        <v>6.973737373737373</v>
      </c>
    </row>
    <row r="6" spans="1:7" ht="12.75">
      <c r="A6" t="s">
        <v>186</v>
      </c>
      <c r="B6">
        <f>опилки!E6</f>
        <v>55</v>
      </c>
      <c r="C6">
        <f>F6/B6</f>
        <v>0.21818181818181817</v>
      </c>
      <c r="D6">
        <v>32</v>
      </c>
      <c r="E6">
        <f>C5+E5</f>
        <v>5.216666666666667</v>
      </c>
      <c r="F6">
        <v>12</v>
      </c>
      <c r="G6">
        <f aca="true" t="shared" si="0" ref="G6:G34">E6+$C$3</f>
        <v>7.19040404040404</v>
      </c>
    </row>
    <row r="7" spans="1:7" ht="12.75">
      <c r="A7" t="s">
        <v>172</v>
      </c>
      <c r="B7">
        <v>0</v>
      </c>
      <c r="C7">
        <f>щебень!$D$6/2</f>
        <v>0.21666666666666667</v>
      </c>
      <c r="D7">
        <v>20</v>
      </c>
      <c r="E7">
        <f>C6+E6</f>
        <v>5.434848484848485</v>
      </c>
      <c r="F7">
        <v>0</v>
      </c>
      <c r="G7">
        <f t="shared" si="0"/>
        <v>7.408585858585858</v>
      </c>
    </row>
    <row r="8" spans="1:7" ht="12.75">
      <c r="A8" t="s">
        <v>171</v>
      </c>
      <c r="B8">
        <v>0</v>
      </c>
      <c r="C8">
        <f>щебень!$D$6/2</f>
        <v>0.21666666666666667</v>
      </c>
      <c r="D8">
        <v>20</v>
      </c>
      <c r="E8">
        <f>C7+E7</f>
        <v>5.651515151515151</v>
      </c>
      <c r="F8">
        <v>0</v>
      </c>
      <c r="G8">
        <f t="shared" si="0"/>
        <v>7.625252525252525</v>
      </c>
    </row>
    <row r="9" spans="1:7" ht="12.75">
      <c r="A9" t="s">
        <v>187</v>
      </c>
      <c r="B9">
        <f>щебень!E6</f>
        <v>45</v>
      </c>
      <c r="C9">
        <f>F9/B9</f>
        <v>0.4444444444444444</v>
      </c>
      <c r="D9">
        <v>20</v>
      </c>
      <c r="E9">
        <f>C8+E8</f>
        <v>5.868181818181818</v>
      </c>
      <c r="F9">
        <v>20</v>
      </c>
      <c r="G9">
        <f t="shared" si="0"/>
        <v>7.8419191919191915</v>
      </c>
    </row>
    <row r="10" spans="1:7" ht="12.75">
      <c r="A10" t="s">
        <v>172</v>
      </c>
      <c r="B10">
        <v>0</v>
      </c>
      <c r="C10">
        <f>C8</f>
        <v>0.21666666666666667</v>
      </c>
      <c r="D10">
        <v>0</v>
      </c>
      <c r="E10">
        <f>C9+E9</f>
        <v>6.312626262626263</v>
      </c>
      <c r="F10">
        <v>0</v>
      </c>
      <c r="G10">
        <f t="shared" si="0"/>
        <v>8.286363636363637</v>
      </c>
    </row>
    <row r="11" spans="1:7" ht="12.75">
      <c r="A11" t="s">
        <v>188</v>
      </c>
      <c r="B11">
        <v>45</v>
      </c>
      <c r="C11">
        <f>F11/B11</f>
        <v>0.4444444444444444</v>
      </c>
      <c r="D11">
        <v>0</v>
      </c>
      <c r="E11">
        <f aca="true" t="shared" si="1" ref="E11:E35">C10+E10</f>
        <v>6.52929292929293</v>
      </c>
      <c r="F11">
        <v>20</v>
      </c>
      <c r="G11">
        <f t="shared" si="0"/>
        <v>8.503030303030304</v>
      </c>
    </row>
    <row r="12" spans="1:7" ht="12.75">
      <c r="A12" t="s">
        <v>171</v>
      </c>
      <c r="B12">
        <v>0</v>
      </c>
      <c r="C12">
        <f>щебень!$D$6/2</f>
        <v>0.21666666666666667</v>
      </c>
      <c r="D12">
        <v>32</v>
      </c>
      <c r="E12">
        <f t="shared" si="1"/>
        <v>6.973737373737374</v>
      </c>
      <c r="F12">
        <v>0</v>
      </c>
      <c r="G12">
        <f t="shared" si="0"/>
        <v>8.947474747474748</v>
      </c>
    </row>
    <row r="13" spans="1:7" ht="12.75">
      <c r="A13" t="s">
        <v>186</v>
      </c>
      <c r="B13">
        <v>55</v>
      </c>
      <c r="C13">
        <f>F13/B13</f>
        <v>0.21818181818181817</v>
      </c>
      <c r="D13">
        <v>32</v>
      </c>
      <c r="E13">
        <f t="shared" si="1"/>
        <v>7.190404040404041</v>
      </c>
      <c r="F13">
        <v>12</v>
      </c>
      <c r="G13">
        <f t="shared" si="0"/>
        <v>9.164141414141415</v>
      </c>
    </row>
    <row r="14" spans="1:7" ht="12.75">
      <c r="A14" t="s">
        <v>172</v>
      </c>
      <c r="B14">
        <v>0</v>
      </c>
      <c r="C14">
        <f>щебень!$D$6/2</f>
        <v>0.21666666666666667</v>
      </c>
      <c r="D14">
        <v>20</v>
      </c>
      <c r="E14">
        <f t="shared" si="1"/>
        <v>7.408585858585859</v>
      </c>
      <c r="F14">
        <v>0</v>
      </c>
      <c r="G14">
        <f t="shared" si="0"/>
        <v>9.382323232323232</v>
      </c>
    </row>
    <row r="15" spans="1:7" ht="12.75">
      <c r="A15" t="s">
        <v>171</v>
      </c>
      <c r="B15">
        <v>0</v>
      </c>
      <c r="C15">
        <f>щебень!$D$6/2</f>
        <v>0.21666666666666667</v>
      </c>
      <c r="D15">
        <v>20</v>
      </c>
      <c r="E15">
        <f t="shared" si="1"/>
        <v>7.625252525252526</v>
      </c>
      <c r="F15">
        <v>0</v>
      </c>
      <c r="G15">
        <f t="shared" si="0"/>
        <v>9.598989898989899</v>
      </c>
    </row>
    <row r="16" spans="1:7" ht="12.75">
      <c r="A16" t="s">
        <v>187</v>
      </c>
      <c r="B16">
        <v>45</v>
      </c>
      <c r="C16">
        <f>F16/B16</f>
        <v>0.4444444444444444</v>
      </c>
      <c r="D16">
        <v>20</v>
      </c>
      <c r="E16">
        <f t="shared" si="1"/>
        <v>7.841919191919192</v>
      </c>
      <c r="F16">
        <v>20</v>
      </c>
      <c r="G16">
        <f t="shared" si="0"/>
        <v>9.815656565656566</v>
      </c>
    </row>
    <row r="17" spans="1:7" ht="12.75">
      <c r="A17" t="s">
        <v>172</v>
      </c>
      <c r="B17">
        <v>0</v>
      </c>
      <c r="C17">
        <f>C15</f>
        <v>0.21666666666666667</v>
      </c>
      <c r="D17">
        <v>0</v>
      </c>
      <c r="E17">
        <f t="shared" si="1"/>
        <v>8.286363636363637</v>
      </c>
      <c r="F17">
        <v>0</v>
      </c>
      <c r="G17">
        <f t="shared" si="0"/>
        <v>10.26010101010101</v>
      </c>
    </row>
    <row r="18" spans="1:7" ht="12.75">
      <c r="A18" t="s">
        <v>188</v>
      </c>
      <c r="B18">
        <v>45</v>
      </c>
      <c r="C18">
        <f>F18/B18</f>
        <v>0.4444444444444444</v>
      </c>
      <c r="D18">
        <v>0</v>
      </c>
      <c r="E18">
        <f t="shared" si="1"/>
        <v>8.503030303030304</v>
      </c>
      <c r="F18">
        <v>20</v>
      </c>
      <c r="G18">
        <f t="shared" si="0"/>
        <v>10.476767676767677</v>
      </c>
    </row>
    <row r="19" spans="1:7" ht="12.75">
      <c r="A19" t="s">
        <v>170</v>
      </c>
      <c r="B19">
        <v>0</v>
      </c>
      <c r="C19">
        <v>1</v>
      </c>
      <c r="D19">
        <v>0</v>
      </c>
      <c r="E19">
        <f t="shared" si="1"/>
        <v>8.947474747474748</v>
      </c>
      <c r="F19">
        <v>0</v>
      </c>
      <c r="G19">
        <f t="shared" si="0"/>
        <v>10.921212121212122</v>
      </c>
    </row>
    <row r="20" spans="1:7" ht="12.75">
      <c r="A20" t="s">
        <v>171</v>
      </c>
      <c r="B20">
        <v>0</v>
      </c>
      <c r="C20">
        <f>щебень!$D$6/2</f>
        <v>0.21666666666666667</v>
      </c>
      <c r="D20">
        <v>32</v>
      </c>
      <c r="E20">
        <f t="shared" si="1"/>
        <v>9.947474747474748</v>
      </c>
      <c r="F20">
        <v>0</v>
      </c>
      <c r="G20">
        <f t="shared" si="0"/>
        <v>11.921212121212122</v>
      </c>
    </row>
    <row r="21" spans="1:7" ht="12.75">
      <c r="A21" t="s">
        <v>186</v>
      </c>
      <c r="B21">
        <v>55</v>
      </c>
      <c r="C21">
        <f>F21/B21</f>
        <v>0.21818181818181817</v>
      </c>
      <c r="D21">
        <v>32</v>
      </c>
      <c r="E21">
        <f t="shared" si="1"/>
        <v>10.164141414141415</v>
      </c>
      <c r="F21">
        <v>12</v>
      </c>
      <c r="G21">
        <f t="shared" si="0"/>
        <v>12.137878787878789</v>
      </c>
    </row>
    <row r="22" spans="1:7" ht="12.75">
      <c r="A22" t="s">
        <v>172</v>
      </c>
      <c r="B22">
        <v>0</v>
      </c>
      <c r="C22">
        <f>щебень!$D$6/2</f>
        <v>0.21666666666666667</v>
      </c>
      <c r="D22">
        <v>20</v>
      </c>
      <c r="E22">
        <f t="shared" si="1"/>
        <v>10.382323232323234</v>
      </c>
      <c r="F22">
        <v>0</v>
      </c>
      <c r="G22">
        <f t="shared" si="0"/>
        <v>12.356060606060607</v>
      </c>
    </row>
    <row r="23" spans="1:7" ht="12.75">
      <c r="A23" t="s">
        <v>171</v>
      </c>
      <c r="B23">
        <v>0</v>
      </c>
      <c r="C23">
        <f>щебень!$D$6/2</f>
        <v>0.21666666666666667</v>
      </c>
      <c r="D23">
        <v>20</v>
      </c>
      <c r="E23">
        <f t="shared" si="1"/>
        <v>10.5989898989899</v>
      </c>
      <c r="F23">
        <v>0</v>
      </c>
      <c r="G23">
        <f t="shared" si="0"/>
        <v>12.572727272727274</v>
      </c>
    </row>
    <row r="24" spans="1:7" ht="12.75">
      <c r="A24" t="s">
        <v>187</v>
      </c>
      <c r="B24">
        <v>45</v>
      </c>
      <c r="C24">
        <f>F24/B24</f>
        <v>0.4444444444444444</v>
      </c>
      <c r="D24">
        <v>20</v>
      </c>
      <c r="E24">
        <f t="shared" si="1"/>
        <v>10.815656565656568</v>
      </c>
      <c r="F24">
        <v>20</v>
      </c>
      <c r="G24">
        <f t="shared" si="0"/>
        <v>12.78939393939394</v>
      </c>
    </row>
    <row r="25" spans="1:7" ht="12.75">
      <c r="A25" t="s">
        <v>172</v>
      </c>
      <c r="B25">
        <v>0</v>
      </c>
      <c r="C25">
        <f>C23</f>
        <v>0.21666666666666667</v>
      </c>
      <c r="D25">
        <v>0</v>
      </c>
      <c r="E25">
        <f t="shared" si="1"/>
        <v>11.260101010101012</v>
      </c>
      <c r="F25">
        <v>0</v>
      </c>
      <c r="G25">
        <f t="shared" si="0"/>
        <v>13.233838383838386</v>
      </c>
    </row>
    <row r="26" spans="1:7" ht="12.75">
      <c r="A26" t="s">
        <v>188</v>
      </c>
      <c r="B26">
        <v>45</v>
      </c>
      <c r="C26">
        <f>F26/B26</f>
        <v>0.4444444444444444</v>
      </c>
      <c r="D26">
        <v>0</v>
      </c>
      <c r="E26">
        <f t="shared" si="1"/>
        <v>11.476767676767679</v>
      </c>
      <c r="F26">
        <v>20</v>
      </c>
      <c r="G26">
        <f t="shared" si="0"/>
        <v>13.450505050505052</v>
      </c>
    </row>
    <row r="27" spans="1:7" ht="12.75">
      <c r="A27" t="s">
        <v>171</v>
      </c>
      <c r="B27">
        <v>0</v>
      </c>
      <c r="C27">
        <f>щебень!$D$6/2</f>
        <v>0.21666666666666667</v>
      </c>
      <c r="D27">
        <v>32</v>
      </c>
      <c r="E27">
        <f t="shared" si="1"/>
        <v>11.921212121212124</v>
      </c>
      <c r="F27">
        <v>0</v>
      </c>
      <c r="G27">
        <f t="shared" si="0"/>
        <v>13.894949494949497</v>
      </c>
    </row>
    <row r="28" spans="1:7" ht="12.75">
      <c r="A28" t="s">
        <v>186</v>
      </c>
      <c r="B28">
        <v>55</v>
      </c>
      <c r="C28">
        <f>F28/B28</f>
        <v>0.21818181818181817</v>
      </c>
      <c r="D28">
        <v>32</v>
      </c>
      <c r="E28">
        <f t="shared" si="1"/>
        <v>12.13787878787879</v>
      </c>
      <c r="F28">
        <v>12</v>
      </c>
      <c r="G28">
        <f t="shared" si="0"/>
        <v>14.111616161616164</v>
      </c>
    </row>
    <row r="29" spans="1:7" ht="12.75">
      <c r="A29" t="s">
        <v>172</v>
      </c>
      <c r="B29">
        <v>0</v>
      </c>
      <c r="C29">
        <f>щебень!$D$6/2</f>
        <v>0.21666666666666667</v>
      </c>
      <c r="D29">
        <v>20</v>
      </c>
      <c r="E29">
        <f t="shared" si="1"/>
        <v>12.356060606060609</v>
      </c>
      <c r="F29">
        <v>0</v>
      </c>
      <c r="G29">
        <f t="shared" si="0"/>
        <v>14.329797979797982</v>
      </c>
    </row>
    <row r="30" spans="1:7" ht="12.75">
      <c r="A30" t="s">
        <v>171</v>
      </c>
      <c r="B30">
        <v>0</v>
      </c>
      <c r="C30">
        <f>щебень!$D$6/2</f>
        <v>0.21666666666666667</v>
      </c>
      <c r="D30">
        <v>20</v>
      </c>
      <c r="E30">
        <f t="shared" si="1"/>
        <v>12.572727272727276</v>
      </c>
      <c r="F30">
        <v>0</v>
      </c>
      <c r="G30">
        <f t="shared" si="0"/>
        <v>14.54646464646465</v>
      </c>
    </row>
    <row r="31" spans="1:7" ht="12.75">
      <c r="A31" t="s">
        <v>187</v>
      </c>
      <c r="B31">
        <v>45</v>
      </c>
      <c r="C31">
        <f>F31/B31</f>
        <v>0.4444444444444444</v>
      </c>
      <c r="D31">
        <v>20</v>
      </c>
      <c r="E31">
        <f t="shared" si="1"/>
        <v>12.789393939393943</v>
      </c>
      <c r="F31">
        <v>20</v>
      </c>
      <c r="G31">
        <f t="shared" si="0"/>
        <v>14.763131313131316</v>
      </c>
    </row>
    <row r="32" spans="1:7" ht="12.75">
      <c r="A32" t="s">
        <v>172</v>
      </c>
      <c r="B32">
        <v>0</v>
      </c>
      <c r="C32">
        <f>C30</f>
        <v>0.21666666666666667</v>
      </c>
      <c r="D32">
        <v>0</v>
      </c>
      <c r="E32">
        <f t="shared" si="1"/>
        <v>13.233838383838387</v>
      </c>
      <c r="F32">
        <v>0</v>
      </c>
      <c r="G32">
        <f t="shared" si="0"/>
        <v>15.20757575757576</v>
      </c>
    </row>
    <row r="33" spans="1:7" ht="12.75">
      <c r="A33" t="s">
        <v>188</v>
      </c>
      <c r="B33">
        <v>45</v>
      </c>
      <c r="C33">
        <f>F33/B33</f>
        <v>0.4444444444444444</v>
      </c>
      <c r="D33">
        <v>0</v>
      </c>
      <c r="E33">
        <f t="shared" si="1"/>
        <v>13.450505050505054</v>
      </c>
      <c r="F33">
        <v>20</v>
      </c>
      <c r="G33">
        <f t="shared" si="0"/>
        <v>15.424242424242427</v>
      </c>
    </row>
    <row r="34" spans="1:7" ht="12.75">
      <c r="A34" t="s">
        <v>181</v>
      </c>
      <c r="B34">
        <v>0</v>
      </c>
      <c r="C34">
        <f>5/60</f>
        <v>0.08333333333333333</v>
      </c>
      <c r="D34">
        <v>32</v>
      </c>
      <c r="E34">
        <f t="shared" si="1"/>
        <v>13.894949494949499</v>
      </c>
      <c r="F34">
        <v>0</v>
      </c>
      <c r="G34">
        <f t="shared" si="0"/>
        <v>15.868686868686872</v>
      </c>
    </row>
    <row r="35" spans="1:7" ht="12.75">
      <c r="A35" t="s">
        <v>171</v>
      </c>
      <c r="B35">
        <v>0</v>
      </c>
      <c r="C35">
        <f>щебень!$D$6/2</f>
        <v>0.21666666666666667</v>
      </c>
      <c r="D35">
        <v>32</v>
      </c>
      <c r="E35">
        <f t="shared" si="1"/>
        <v>13.978282828282833</v>
      </c>
      <c r="F35">
        <v>0</v>
      </c>
      <c r="G35">
        <f>E35+$C$3</f>
        <v>15.952020202020206</v>
      </c>
    </row>
    <row r="36" spans="1:7" ht="12.75">
      <c r="A36" t="s">
        <v>186</v>
      </c>
      <c r="B36">
        <v>55</v>
      </c>
      <c r="C36">
        <f>F36/B36</f>
        <v>0.21818181818181817</v>
      </c>
      <c r="D36">
        <v>32</v>
      </c>
      <c r="E36">
        <f>C35+E35</f>
        <v>14.1949494949495</v>
      </c>
      <c r="F36">
        <v>12</v>
      </c>
      <c r="G36">
        <f aca="true" t="shared" si="2" ref="G36:G64">E36+$C$3</f>
        <v>16.168686868686873</v>
      </c>
    </row>
    <row r="37" spans="1:7" ht="12.75">
      <c r="A37" t="s">
        <v>172</v>
      </c>
      <c r="B37">
        <v>0</v>
      </c>
      <c r="C37">
        <f>щебень!$D$6/2</f>
        <v>0.21666666666666667</v>
      </c>
      <c r="D37">
        <v>20</v>
      </c>
      <c r="E37">
        <f>C36+E36</f>
        <v>14.413131313131318</v>
      </c>
      <c r="F37">
        <v>0</v>
      </c>
      <c r="G37">
        <f t="shared" si="2"/>
        <v>16.38686868686869</v>
      </c>
    </row>
    <row r="38" spans="1:7" ht="12.75">
      <c r="A38" t="s">
        <v>171</v>
      </c>
      <c r="B38">
        <v>0</v>
      </c>
      <c r="C38">
        <f>щебень!$D$6/2</f>
        <v>0.21666666666666667</v>
      </c>
      <c r="D38">
        <v>20</v>
      </c>
      <c r="E38">
        <f>C37+E37</f>
        <v>14.629797979797985</v>
      </c>
      <c r="F38">
        <v>0</v>
      </c>
      <c r="G38">
        <f t="shared" si="2"/>
        <v>16.60353535353536</v>
      </c>
    </row>
    <row r="39" spans="1:7" ht="12.75">
      <c r="A39" t="s">
        <v>187</v>
      </c>
      <c r="B39">
        <v>45</v>
      </c>
      <c r="C39">
        <f>F39/B39</f>
        <v>0.4444444444444444</v>
      </c>
      <c r="D39">
        <v>20</v>
      </c>
      <c r="E39">
        <f>C38+E38</f>
        <v>14.846464646464652</v>
      </c>
      <c r="F39">
        <v>20</v>
      </c>
      <c r="G39">
        <f t="shared" si="2"/>
        <v>16.820202020202025</v>
      </c>
    </row>
    <row r="40" spans="1:7" ht="12.75">
      <c r="A40" t="s">
        <v>172</v>
      </c>
      <c r="B40">
        <v>0</v>
      </c>
      <c r="C40">
        <f>C38</f>
        <v>0.21666666666666667</v>
      </c>
      <c r="D40">
        <v>0</v>
      </c>
      <c r="E40">
        <f>C39+E39</f>
        <v>15.290909090909096</v>
      </c>
      <c r="F40">
        <v>0</v>
      </c>
      <c r="G40">
        <f t="shared" si="2"/>
        <v>17.26464646464647</v>
      </c>
    </row>
    <row r="41" spans="1:7" ht="12.75">
      <c r="A41" t="s">
        <v>188</v>
      </c>
      <c r="B41">
        <v>45</v>
      </c>
      <c r="C41">
        <f>F41/B41</f>
        <v>0.4444444444444444</v>
      </c>
      <c r="D41">
        <v>0</v>
      </c>
      <c r="E41">
        <f aca="true" t="shared" si="3" ref="E41:E64">C40+E40</f>
        <v>15.507575757575763</v>
      </c>
      <c r="F41">
        <v>20</v>
      </c>
      <c r="G41">
        <f t="shared" si="2"/>
        <v>17.481313131313136</v>
      </c>
    </row>
    <row r="42" spans="1:7" ht="12.75">
      <c r="A42" t="s">
        <v>171</v>
      </c>
      <c r="B42">
        <v>0</v>
      </c>
      <c r="C42">
        <f>щебень!$D$6/2</f>
        <v>0.21666666666666667</v>
      </c>
      <c r="D42">
        <v>32</v>
      </c>
      <c r="E42">
        <f t="shared" si="3"/>
        <v>15.952020202020208</v>
      </c>
      <c r="F42">
        <v>0</v>
      </c>
      <c r="G42">
        <f t="shared" si="2"/>
        <v>17.925757575757583</v>
      </c>
    </row>
    <row r="43" spans="1:7" ht="12.75">
      <c r="A43" t="s">
        <v>186</v>
      </c>
      <c r="B43">
        <v>55</v>
      </c>
      <c r="C43">
        <f>F43/B43</f>
        <v>0.21818181818181817</v>
      </c>
      <c r="D43">
        <v>32</v>
      </c>
      <c r="E43">
        <f t="shared" si="3"/>
        <v>16.168686868686873</v>
      </c>
      <c r="F43">
        <v>12</v>
      </c>
      <c r="G43">
        <f t="shared" si="2"/>
        <v>18.142424242424248</v>
      </c>
    </row>
    <row r="44" spans="1:7" ht="12.75">
      <c r="A44" t="s">
        <v>172</v>
      </c>
      <c r="B44">
        <v>0</v>
      </c>
      <c r="C44">
        <f>щебень!$D$6/2</f>
        <v>0.21666666666666667</v>
      </c>
      <c r="D44">
        <v>20</v>
      </c>
      <c r="E44">
        <f t="shared" si="3"/>
        <v>16.38686868686869</v>
      </c>
      <c r="F44">
        <v>0</v>
      </c>
      <c r="G44">
        <f t="shared" si="2"/>
        <v>18.360606060606067</v>
      </c>
    </row>
    <row r="45" spans="1:7" ht="12.75">
      <c r="A45" t="s">
        <v>171</v>
      </c>
      <c r="B45">
        <v>0</v>
      </c>
      <c r="C45">
        <f>щебень!$D$6/2</f>
        <v>0.21666666666666667</v>
      </c>
      <c r="D45">
        <v>20</v>
      </c>
      <c r="E45">
        <f t="shared" si="3"/>
        <v>16.603535353535356</v>
      </c>
      <c r="F45">
        <v>0</v>
      </c>
      <c r="G45">
        <f t="shared" si="2"/>
        <v>18.57727272727273</v>
      </c>
    </row>
    <row r="46" spans="1:7" ht="12.75">
      <c r="A46" t="s">
        <v>187</v>
      </c>
      <c r="B46">
        <v>45</v>
      </c>
      <c r="C46">
        <f>F46/B46</f>
        <v>0.4444444444444444</v>
      </c>
      <c r="D46">
        <v>20</v>
      </c>
      <c r="E46">
        <f t="shared" si="3"/>
        <v>16.82020202020202</v>
      </c>
      <c r="F46">
        <v>20</v>
      </c>
      <c r="G46">
        <f t="shared" si="2"/>
        <v>18.793939393939397</v>
      </c>
    </row>
    <row r="47" spans="1:7" ht="12.75">
      <c r="A47" t="s">
        <v>172</v>
      </c>
      <c r="B47">
        <v>0</v>
      </c>
      <c r="C47">
        <f>C45</f>
        <v>0.21666666666666667</v>
      </c>
      <c r="D47">
        <v>0</v>
      </c>
      <c r="E47">
        <f t="shared" si="3"/>
        <v>17.264646464646464</v>
      </c>
      <c r="F47">
        <v>0</v>
      </c>
      <c r="G47">
        <f t="shared" si="2"/>
        <v>19.23838383838384</v>
      </c>
    </row>
    <row r="48" spans="1:7" ht="12.75">
      <c r="A48" t="s">
        <v>188</v>
      </c>
      <c r="B48">
        <v>45</v>
      </c>
      <c r="C48">
        <f>F48/B48</f>
        <v>0.4444444444444444</v>
      </c>
      <c r="D48">
        <v>0</v>
      </c>
      <c r="E48">
        <f t="shared" si="3"/>
        <v>17.48131313131313</v>
      </c>
      <c r="F48">
        <v>20</v>
      </c>
      <c r="G48">
        <f t="shared" si="2"/>
        <v>19.455050505050504</v>
      </c>
    </row>
    <row r="49" spans="1:7" ht="12.75">
      <c r="A49" t="s">
        <v>170</v>
      </c>
      <c r="B49">
        <v>0</v>
      </c>
      <c r="C49">
        <v>1</v>
      </c>
      <c r="D49">
        <v>0</v>
      </c>
      <c r="E49">
        <f t="shared" si="3"/>
        <v>17.925757575757572</v>
      </c>
      <c r="F49">
        <v>0</v>
      </c>
      <c r="G49">
        <f t="shared" si="2"/>
        <v>19.899494949494947</v>
      </c>
    </row>
    <row r="50" spans="1:7" ht="12.75">
      <c r="A50" t="s">
        <v>171</v>
      </c>
      <c r="B50">
        <v>0</v>
      </c>
      <c r="C50">
        <f>щебень!$D$6/2</f>
        <v>0.21666666666666667</v>
      </c>
      <c r="D50">
        <v>32</v>
      </c>
      <c r="E50">
        <f t="shared" si="3"/>
        <v>18.925757575757572</v>
      </c>
      <c r="F50">
        <v>0</v>
      </c>
      <c r="G50">
        <f t="shared" si="2"/>
        <v>20.899494949494947</v>
      </c>
    </row>
    <row r="51" spans="1:7" ht="12.75">
      <c r="A51" t="s">
        <v>186</v>
      </c>
      <c r="B51">
        <v>55</v>
      </c>
      <c r="C51">
        <f>F51/B51</f>
        <v>0.21818181818181817</v>
      </c>
      <c r="D51">
        <v>32</v>
      </c>
      <c r="E51">
        <f t="shared" si="3"/>
        <v>19.142424242424237</v>
      </c>
      <c r="F51">
        <v>12</v>
      </c>
      <c r="G51">
        <f t="shared" si="2"/>
        <v>21.116161616161612</v>
      </c>
    </row>
    <row r="52" spans="1:7" ht="12.75">
      <c r="A52" t="s">
        <v>172</v>
      </c>
      <c r="B52">
        <v>0</v>
      </c>
      <c r="C52">
        <f>щебень!$D$6/2</f>
        <v>0.21666666666666667</v>
      </c>
      <c r="D52">
        <v>20</v>
      </c>
      <c r="E52">
        <f t="shared" si="3"/>
        <v>19.360606060606056</v>
      </c>
      <c r="F52">
        <v>0</v>
      </c>
      <c r="G52">
        <f t="shared" si="2"/>
        <v>21.33434343434343</v>
      </c>
    </row>
    <row r="53" spans="1:7" ht="12.75">
      <c r="A53" t="s">
        <v>171</v>
      </c>
      <c r="B53">
        <v>0</v>
      </c>
      <c r="C53">
        <f>щебень!$D$6/2</f>
        <v>0.21666666666666667</v>
      </c>
      <c r="D53">
        <v>20</v>
      </c>
      <c r="E53">
        <f t="shared" si="3"/>
        <v>19.57727272727272</v>
      </c>
      <c r="F53">
        <v>0</v>
      </c>
      <c r="G53">
        <f t="shared" si="2"/>
        <v>21.551010101010096</v>
      </c>
    </row>
    <row r="54" spans="1:7" ht="12.75">
      <c r="A54" t="s">
        <v>187</v>
      </c>
      <c r="B54">
        <v>45</v>
      </c>
      <c r="C54">
        <f>F54/B54</f>
        <v>0.4444444444444444</v>
      </c>
      <c r="D54">
        <v>20</v>
      </c>
      <c r="E54">
        <f t="shared" si="3"/>
        <v>19.793939393939386</v>
      </c>
      <c r="F54">
        <v>20</v>
      </c>
      <c r="G54">
        <f t="shared" si="2"/>
        <v>21.76767676767676</v>
      </c>
    </row>
    <row r="55" spans="1:7" ht="12.75">
      <c r="A55" t="s">
        <v>172</v>
      </c>
      <c r="B55">
        <v>0</v>
      </c>
      <c r="C55">
        <f>C53</f>
        <v>0.21666666666666667</v>
      </c>
      <c r="D55">
        <v>0</v>
      </c>
      <c r="E55">
        <f t="shared" si="3"/>
        <v>20.23838383838383</v>
      </c>
      <c r="F55">
        <v>0</v>
      </c>
      <c r="G55">
        <f t="shared" si="2"/>
        <v>22.212121212121204</v>
      </c>
    </row>
    <row r="56" spans="1:7" ht="12.75">
      <c r="A56" t="s">
        <v>188</v>
      </c>
      <c r="B56">
        <v>45</v>
      </c>
      <c r="C56">
        <f>F56/B56</f>
        <v>0.4444444444444444</v>
      </c>
      <c r="D56">
        <v>0</v>
      </c>
      <c r="E56">
        <f t="shared" si="3"/>
        <v>20.455050505050494</v>
      </c>
      <c r="F56">
        <v>20</v>
      </c>
      <c r="G56">
        <f t="shared" si="2"/>
        <v>22.42878787878787</v>
      </c>
    </row>
    <row r="57" spans="1:7" ht="12.75">
      <c r="A57" t="s">
        <v>171</v>
      </c>
      <c r="B57">
        <v>0</v>
      </c>
      <c r="C57">
        <f>щебень!$D$6/2</f>
        <v>0.21666666666666667</v>
      </c>
      <c r="D57">
        <v>32</v>
      </c>
      <c r="E57">
        <f t="shared" si="3"/>
        <v>20.899494949494937</v>
      </c>
      <c r="F57">
        <v>0</v>
      </c>
      <c r="G57">
        <f t="shared" si="2"/>
        <v>22.873232323232312</v>
      </c>
    </row>
    <row r="58" spans="1:7" ht="12.75">
      <c r="A58" t="s">
        <v>186</v>
      </c>
      <c r="B58">
        <v>55</v>
      </c>
      <c r="C58">
        <f>F58/B58</f>
        <v>0.21818181818181817</v>
      </c>
      <c r="D58">
        <v>32</v>
      </c>
      <c r="E58">
        <f t="shared" si="3"/>
        <v>21.1161616161616</v>
      </c>
      <c r="F58">
        <v>12</v>
      </c>
      <c r="G58">
        <f t="shared" si="2"/>
        <v>23.089898989898977</v>
      </c>
    </row>
    <row r="59" spans="1:7" ht="12.75">
      <c r="A59" t="s">
        <v>172</v>
      </c>
      <c r="B59">
        <v>0</v>
      </c>
      <c r="C59">
        <f>щебень!$D$6/2</f>
        <v>0.21666666666666667</v>
      </c>
      <c r="D59">
        <v>20</v>
      </c>
      <c r="E59">
        <f t="shared" si="3"/>
        <v>21.33434343434342</v>
      </c>
      <c r="F59">
        <v>0</v>
      </c>
      <c r="G59">
        <f t="shared" si="2"/>
        <v>23.308080808080796</v>
      </c>
    </row>
    <row r="60" spans="1:7" ht="12.75">
      <c r="A60" t="s">
        <v>171</v>
      </c>
      <c r="B60">
        <v>0</v>
      </c>
      <c r="C60">
        <f>щебень!$D$6/2</f>
        <v>0.21666666666666667</v>
      </c>
      <c r="D60">
        <v>20</v>
      </c>
      <c r="E60">
        <f t="shared" si="3"/>
        <v>21.551010101010085</v>
      </c>
      <c r="F60">
        <v>0</v>
      </c>
      <c r="G60">
        <f t="shared" si="2"/>
        <v>23.52474747474746</v>
      </c>
    </row>
    <row r="61" spans="1:7" ht="12.75">
      <c r="A61" t="s">
        <v>187</v>
      </c>
      <c r="B61">
        <v>45</v>
      </c>
      <c r="C61">
        <f>F61/B61</f>
        <v>0.4444444444444444</v>
      </c>
      <c r="D61">
        <v>20</v>
      </c>
      <c r="E61">
        <f t="shared" si="3"/>
        <v>21.76767676767675</v>
      </c>
      <c r="F61">
        <v>20</v>
      </c>
      <c r="G61">
        <f t="shared" si="2"/>
        <v>23.741414141414126</v>
      </c>
    </row>
    <row r="62" spans="1:7" ht="12.75">
      <c r="A62" t="s">
        <v>172</v>
      </c>
      <c r="B62">
        <v>0</v>
      </c>
      <c r="C62">
        <f>C60</f>
        <v>0.21666666666666667</v>
      </c>
      <c r="D62">
        <v>0</v>
      </c>
      <c r="E62">
        <f t="shared" si="3"/>
        <v>22.212121212121193</v>
      </c>
      <c r="F62">
        <v>0</v>
      </c>
      <c r="G62">
        <f t="shared" si="2"/>
        <v>24.18585858585857</v>
      </c>
    </row>
    <row r="63" spans="1:7" ht="12.75">
      <c r="A63" t="s">
        <v>188</v>
      </c>
      <c r="B63">
        <v>45</v>
      </c>
      <c r="C63">
        <f>F63/B63</f>
        <v>0.4444444444444444</v>
      </c>
      <c r="D63">
        <v>0</v>
      </c>
      <c r="E63">
        <f t="shared" si="3"/>
        <v>22.42878787878786</v>
      </c>
      <c r="F63">
        <v>20</v>
      </c>
      <c r="G63">
        <f t="shared" si="2"/>
        <v>24.402525252525233</v>
      </c>
    </row>
    <row r="64" spans="2:7" ht="12.75">
      <c r="B64">
        <v>0</v>
      </c>
      <c r="C64">
        <v>0</v>
      </c>
      <c r="D64">
        <v>32</v>
      </c>
      <c r="E64">
        <f t="shared" si="3"/>
        <v>22.8732323232323</v>
      </c>
      <c r="F64">
        <v>0</v>
      </c>
      <c r="G64">
        <f t="shared" si="2"/>
        <v>24.846969696969676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D20" sqref="D20"/>
    </sheetView>
  </sheetViews>
  <sheetFormatPr defaultColWidth="9.00390625" defaultRowHeight="12.75"/>
  <cols>
    <col min="6" max="6" width="12.875" style="0" customWidth="1"/>
  </cols>
  <sheetData>
    <row r="1" spans="1:3" ht="12.75">
      <c r="A1" t="s">
        <v>69</v>
      </c>
      <c r="B1" t="s">
        <v>184</v>
      </c>
      <c r="C1">
        <f>'пок-ли'!E51</f>
        <v>1.9548148148148148</v>
      </c>
    </row>
    <row r="2" spans="2:3" ht="12.75">
      <c r="B2" t="s">
        <v>162</v>
      </c>
      <c r="C2">
        <f>'пок-ли'!E49</f>
        <v>1.4285714285714286</v>
      </c>
    </row>
    <row r="3" ht="12.75">
      <c r="C3">
        <f>C1*C2</f>
        <v>2.7925925925925927</v>
      </c>
    </row>
    <row r="4" spans="2:7" ht="12.75">
      <c r="B4" t="s">
        <v>168</v>
      </c>
      <c r="C4" t="s">
        <v>177</v>
      </c>
      <c r="D4" t="s">
        <v>183</v>
      </c>
      <c r="E4" t="s">
        <v>169</v>
      </c>
      <c r="F4" t="s">
        <v>9</v>
      </c>
      <c r="G4" t="s">
        <v>185</v>
      </c>
    </row>
    <row r="5" spans="1:7" ht="12.75">
      <c r="A5" t="s">
        <v>178</v>
      </c>
      <c r="B5">
        <f>капуста!$E$9</f>
        <v>40.5</v>
      </c>
      <c r="C5">
        <f>F5/B5</f>
        <v>0.49382716049382713</v>
      </c>
      <c r="D5">
        <v>59</v>
      </c>
      <c r="E5">
        <v>5</v>
      </c>
      <c r="F5">
        <v>20</v>
      </c>
      <c r="G5">
        <f>$C$3+E5</f>
        <v>7.792592592592593</v>
      </c>
    </row>
    <row r="6" spans="1:7" ht="12.75">
      <c r="A6" t="s">
        <v>171</v>
      </c>
      <c r="B6">
        <v>0</v>
      </c>
      <c r="C6">
        <f>капуста!$D$9/2</f>
        <v>0.43333333333333335</v>
      </c>
      <c r="D6">
        <v>39</v>
      </c>
      <c r="E6">
        <f aca="true" t="shared" si="0" ref="E6:E20">E5+C5</f>
        <v>5.493827160493828</v>
      </c>
      <c r="F6">
        <v>0</v>
      </c>
      <c r="G6">
        <f aca="true" t="shared" si="1" ref="G6:G20">$C$3+E6</f>
        <v>8.28641975308642</v>
      </c>
    </row>
    <row r="7" spans="1:7" ht="12.75">
      <c r="A7" t="s">
        <v>189</v>
      </c>
      <c r="B7">
        <f>капуста!$E$9</f>
        <v>40.5</v>
      </c>
      <c r="C7">
        <f>F7/B7</f>
        <v>0.9629629629629629</v>
      </c>
      <c r="D7">
        <v>39</v>
      </c>
      <c r="E7">
        <f t="shared" si="0"/>
        <v>5.927160493827161</v>
      </c>
      <c r="F7">
        <v>39</v>
      </c>
      <c r="G7">
        <f t="shared" si="1"/>
        <v>8.719753086419754</v>
      </c>
    </row>
    <row r="8" spans="1:7" ht="12.75">
      <c r="A8" t="s">
        <v>172</v>
      </c>
      <c r="B8">
        <v>0</v>
      </c>
      <c r="C8">
        <f>капуста!$D$9/2</f>
        <v>0.43333333333333335</v>
      </c>
      <c r="D8">
        <v>0</v>
      </c>
      <c r="E8">
        <f t="shared" si="0"/>
        <v>6.890123456790124</v>
      </c>
      <c r="F8">
        <v>0</v>
      </c>
      <c r="G8">
        <f t="shared" si="1"/>
        <v>9.682716049382716</v>
      </c>
    </row>
    <row r="9" spans="1:7" ht="12.75">
      <c r="A9" t="s">
        <v>190</v>
      </c>
      <c r="B9">
        <f>капуста!$E$9</f>
        <v>40.5</v>
      </c>
      <c r="C9">
        <f>F9/B9</f>
        <v>0.9629629629629629</v>
      </c>
      <c r="D9">
        <v>0</v>
      </c>
      <c r="E9">
        <f t="shared" si="0"/>
        <v>7.3234567901234575</v>
      </c>
      <c r="F9">
        <v>39</v>
      </c>
      <c r="G9">
        <f t="shared" si="1"/>
        <v>10.11604938271605</v>
      </c>
    </row>
    <row r="10" spans="1:7" ht="12.75">
      <c r="A10" t="s">
        <v>171</v>
      </c>
      <c r="B10">
        <v>0</v>
      </c>
      <c r="C10">
        <f>капуста!$D$9/2</f>
        <v>0.43333333333333335</v>
      </c>
      <c r="D10">
        <v>39</v>
      </c>
      <c r="E10">
        <f t="shared" si="0"/>
        <v>8.28641975308642</v>
      </c>
      <c r="F10">
        <v>0</v>
      </c>
      <c r="G10">
        <f t="shared" si="1"/>
        <v>11.079012345679013</v>
      </c>
    </row>
    <row r="11" spans="1:7" ht="12.75">
      <c r="A11" t="s">
        <v>170</v>
      </c>
      <c r="B11">
        <v>0</v>
      </c>
      <c r="C11">
        <v>1</v>
      </c>
      <c r="D11">
        <v>39</v>
      </c>
      <c r="E11">
        <f t="shared" si="0"/>
        <v>8.719753086419754</v>
      </c>
      <c r="F11">
        <v>0</v>
      </c>
      <c r="G11">
        <f t="shared" si="1"/>
        <v>11.512345679012347</v>
      </c>
    </row>
    <row r="12" spans="1:7" ht="12.75">
      <c r="A12" t="s">
        <v>189</v>
      </c>
      <c r="B12">
        <f>капуста!$E$9</f>
        <v>40.5</v>
      </c>
      <c r="C12">
        <f>F12/B12</f>
        <v>0.9629629629629629</v>
      </c>
      <c r="D12">
        <v>39</v>
      </c>
      <c r="E12">
        <f t="shared" si="0"/>
        <v>9.719753086419754</v>
      </c>
      <c r="F12">
        <v>39</v>
      </c>
      <c r="G12">
        <f t="shared" si="1"/>
        <v>12.512345679012347</v>
      </c>
    </row>
    <row r="13" spans="1:7" ht="12.75">
      <c r="A13" t="s">
        <v>172</v>
      </c>
      <c r="B13">
        <v>0</v>
      </c>
      <c r="C13">
        <f>капуста!$D$9/2</f>
        <v>0.43333333333333335</v>
      </c>
      <c r="D13">
        <v>0</v>
      </c>
      <c r="E13">
        <f t="shared" si="0"/>
        <v>10.682716049382718</v>
      </c>
      <c r="F13">
        <v>0</v>
      </c>
      <c r="G13">
        <f t="shared" si="1"/>
        <v>13.47530864197531</v>
      </c>
    </row>
    <row r="14" spans="1:7" ht="12.75">
      <c r="A14" t="s">
        <v>190</v>
      </c>
      <c r="B14">
        <f>капуста!$E$9</f>
        <v>40.5</v>
      </c>
      <c r="C14">
        <f>F14/B14</f>
        <v>0.9629629629629629</v>
      </c>
      <c r="D14">
        <v>0</v>
      </c>
      <c r="E14">
        <f t="shared" si="0"/>
        <v>11.116049382716051</v>
      </c>
      <c r="F14">
        <v>39</v>
      </c>
      <c r="G14">
        <f t="shared" si="1"/>
        <v>13.908641975308644</v>
      </c>
    </row>
    <row r="15" spans="1:7" ht="12.75">
      <c r="A15" t="s">
        <v>171</v>
      </c>
      <c r="B15">
        <v>0</v>
      </c>
      <c r="C15">
        <f>капуста!$D$9/2</f>
        <v>0.43333333333333335</v>
      </c>
      <c r="D15">
        <v>39</v>
      </c>
      <c r="E15">
        <f t="shared" si="0"/>
        <v>12.079012345679015</v>
      </c>
      <c r="F15">
        <v>0</v>
      </c>
      <c r="G15">
        <f t="shared" si="1"/>
        <v>14.871604938271608</v>
      </c>
    </row>
    <row r="16" spans="1:7" ht="12.75">
      <c r="A16" t="s">
        <v>189</v>
      </c>
      <c r="B16">
        <f>капуста!$E$9</f>
        <v>40.5</v>
      </c>
      <c r="C16">
        <f>F16/B16</f>
        <v>0.9629629629629629</v>
      </c>
      <c r="D16">
        <v>39</v>
      </c>
      <c r="E16">
        <f t="shared" si="0"/>
        <v>12.512345679012348</v>
      </c>
      <c r="F16">
        <v>39</v>
      </c>
      <c r="G16">
        <f t="shared" si="1"/>
        <v>15.304938271604941</v>
      </c>
    </row>
    <row r="17" spans="1:7" ht="12.75">
      <c r="A17" t="s">
        <v>172</v>
      </c>
      <c r="B17">
        <v>0</v>
      </c>
      <c r="C17">
        <f>капуста!$D$9/2</f>
        <v>0.43333333333333335</v>
      </c>
      <c r="D17">
        <v>0</v>
      </c>
      <c r="E17">
        <f t="shared" si="0"/>
        <v>13.475308641975312</v>
      </c>
      <c r="F17">
        <v>0</v>
      </c>
      <c r="G17">
        <f t="shared" si="1"/>
        <v>16.267901234567905</v>
      </c>
    </row>
    <row r="18" spans="1:7" ht="12.75">
      <c r="A18" t="s">
        <v>190</v>
      </c>
      <c r="B18">
        <f>капуста!$E$9</f>
        <v>40.5</v>
      </c>
      <c r="C18">
        <f>F18/B18</f>
        <v>0.9629629629629629</v>
      </c>
      <c r="D18">
        <v>0</v>
      </c>
      <c r="E18">
        <f t="shared" si="0"/>
        <v>13.908641975308646</v>
      </c>
      <c r="F18">
        <v>39</v>
      </c>
      <c r="G18">
        <f t="shared" si="1"/>
        <v>16.70123456790124</v>
      </c>
    </row>
    <row r="19" spans="1:7" ht="12.75">
      <c r="A19" t="s">
        <v>191</v>
      </c>
      <c r="B19">
        <f>капуста!$E$9</f>
        <v>40.5</v>
      </c>
      <c r="C19">
        <f>F19/B19</f>
        <v>0.49382716049382713</v>
      </c>
      <c r="D19">
        <v>39</v>
      </c>
      <c r="E19">
        <f t="shared" si="0"/>
        <v>14.87160493827161</v>
      </c>
      <c r="F19">
        <v>20</v>
      </c>
      <c r="G19">
        <f t="shared" si="1"/>
        <v>17.6641975308642</v>
      </c>
    </row>
    <row r="20" spans="4:7" ht="12.75">
      <c r="D20">
        <v>59</v>
      </c>
      <c r="E20">
        <f t="shared" si="0"/>
        <v>15.365432098765437</v>
      </c>
      <c r="G20">
        <f t="shared" si="1"/>
        <v>18.15802469135803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E11" sqref="E11"/>
    </sheetView>
  </sheetViews>
  <sheetFormatPr defaultColWidth="9.00390625" defaultRowHeight="12.75"/>
  <cols>
    <col min="1" max="1" width="19.00390625" style="0" customWidth="1"/>
    <col min="4" max="4" width="16.25390625" style="0" customWidth="1"/>
    <col min="5" max="5" width="18.25390625" style="0" customWidth="1"/>
  </cols>
  <sheetData>
    <row r="1" spans="1:7" ht="12.75">
      <c r="A1" t="s">
        <v>228</v>
      </c>
      <c r="B1" t="s">
        <v>229</v>
      </c>
      <c r="C1" t="s">
        <v>65</v>
      </c>
      <c r="D1" t="s">
        <v>68</v>
      </c>
      <c r="E1" t="s">
        <v>69</v>
      </c>
      <c r="F1" t="s">
        <v>139</v>
      </c>
      <c r="G1" t="s">
        <v>72</v>
      </c>
    </row>
    <row r="3" spans="1:7" ht="12.75">
      <c r="A3" t="s">
        <v>162</v>
      </c>
      <c r="B3">
        <f>'пок-ли'!B49</f>
        <v>0.8888888888888888</v>
      </c>
      <c r="C3">
        <f>'пок-ли'!C49</f>
        <v>4.463212826587014</v>
      </c>
      <c r="D3">
        <f>'пок-ли'!D49</f>
        <v>5.333333333333333</v>
      </c>
      <c r="E3">
        <f>'пок-ли'!E49</f>
        <v>1.4285714285714286</v>
      </c>
      <c r="F3">
        <f>'пок-ли'!F49</f>
        <v>2.341646177262616</v>
      </c>
      <c r="G3">
        <f>'пок-ли'!G49</f>
        <v>3.3563595207430827</v>
      </c>
    </row>
    <row r="4" spans="1:7" ht="12.75">
      <c r="A4" t="s">
        <v>230</v>
      </c>
      <c r="B4">
        <f>'пок-ли'!B51</f>
        <v>1.48125</v>
      </c>
      <c r="C4">
        <f>'пок-ли'!C51</f>
        <v>0.6124138461538463</v>
      </c>
      <c r="D4">
        <f>'пок-ли'!D51</f>
        <v>0.2828703703703704</v>
      </c>
      <c r="E4">
        <f>'пок-ли'!E51</f>
        <v>1.9548148148148148</v>
      </c>
      <c r="F4">
        <f>'пок-ли'!F51</f>
        <v>0.8428845454545453</v>
      </c>
      <c r="G4">
        <f>'пок-ли'!G51</f>
        <v>0.3939453488372093</v>
      </c>
    </row>
    <row r="5" spans="1:7" ht="12.75">
      <c r="A5" t="s">
        <v>232</v>
      </c>
      <c r="B5">
        <v>5</v>
      </c>
      <c r="C5">
        <f>B5+10/60</f>
        <v>5.166666666666667</v>
      </c>
      <c r="D5">
        <f>C5+10/60</f>
        <v>5.333333333333334</v>
      </c>
      <c r="E5">
        <f>D5+10/60</f>
        <v>5.500000000000001</v>
      </c>
      <c r="F5">
        <f>E5+10/60</f>
        <v>5.666666666666668</v>
      </c>
      <c r="G5">
        <f>F5+10/60</f>
        <v>5.833333333333335</v>
      </c>
    </row>
    <row r="6" spans="1:7" ht="12.75">
      <c r="A6" t="s">
        <v>231</v>
      </c>
      <c r="B6">
        <f>B5</f>
        <v>5</v>
      </c>
      <c r="C6">
        <f>C5+C4*(C3-1)</f>
        <v>7.287586153846155</v>
      </c>
      <c r="D6">
        <f>D5+D4*(D3-1)</f>
        <v>6.559104938271606</v>
      </c>
      <c r="E6">
        <f>E5+E4*(E3-1)</f>
        <v>6.337777777777779</v>
      </c>
      <c r="F6">
        <f>F5+F4*(F3-1)</f>
        <v>6.797519494949496</v>
      </c>
      <c r="G6">
        <f>G5+G4*(G3-1)</f>
        <v>6.7616102067183474</v>
      </c>
    </row>
    <row r="7" spans="1:7" ht="12.75">
      <c r="A7" t="s">
        <v>103</v>
      </c>
      <c r="B7">
        <f>'пок-ли'!B19</f>
        <v>8.622222222222222</v>
      </c>
      <c r="C7">
        <f>'пок-ли'!C19</f>
        <v>17.288888888888888</v>
      </c>
      <c r="D7">
        <f>'пок-ли'!D19</f>
        <v>8.185185185185185</v>
      </c>
      <c r="E7">
        <f>'пок-ли'!E19</f>
        <v>9.365432098765432</v>
      </c>
      <c r="F7">
        <f>'пок-ли'!F19</f>
        <v>15.78989898989899</v>
      </c>
      <c r="G7">
        <f>'пок-ли'!G19</f>
        <v>16.303030303030305</v>
      </c>
    </row>
    <row r="8" spans="2:7" ht="12.75">
      <c r="B8">
        <f>B7</f>
        <v>8.622222222222222</v>
      </c>
      <c r="C8">
        <f>C7-C6+C5</f>
        <v>15.1679694017094</v>
      </c>
      <c r="D8">
        <f>D7-D6+D5</f>
        <v>6.959413580246913</v>
      </c>
      <c r="E8">
        <f>E7-E6+E5</f>
        <v>8.527654320987654</v>
      </c>
      <c r="F8">
        <f>F7-F6+F5</f>
        <v>14.659046161616162</v>
      </c>
      <c r="G8">
        <f>G7-G6+G5</f>
        <v>15.374753429645292</v>
      </c>
    </row>
    <row r="10" spans="2:7" ht="12.75">
      <c r="B10">
        <v>0</v>
      </c>
      <c r="C10">
        <f>B11</f>
        <v>1</v>
      </c>
      <c r="D10">
        <f>C11</f>
        <v>6</v>
      </c>
      <c r="E10">
        <f>D11</f>
        <v>12</v>
      </c>
      <c r="F10">
        <f>E11</f>
        <v>14</v>
      </c>
      <c r="G10">
        <f>F11</f>
        <v>17</v>
      </c>
    </row>
    <row r="11" spans="2:7" ht="12.75">
      <c r="B11">
        <v>1</v>
      </c>
      <c r="C11">
        <v>6</v>
      </c>
      <c r="D11">
        <v>12</v>
      </c>
      <c r="E11">
        <v>14</v>
      </c>
      <c r="F11">
        <v>17</v>
      </c>
      <c r="G11">
        <v>21</v>
      </c>
    </row>
    <row r="12" spans="2:7" ht="12.75">
      <c r="B12">
        <v>1</v>
      </c>
      <c r="C12">
        <f>C11</f>
        <v>6</v>
      </c>
      <c r="D12">
        <f>D11</f>
        <v>12</v>
      </c>
      <c r="E12">
        <f>E11</f>
        <v>14</v>
      </c>
      <c r="F12">
        <f>F11</f>
        <v>17</v>
      </c>
      <c r="G12">
        <f>G11</f>
        <v>21</v>
      </c>
    </row>
    <row r="13" spans="2:7" ht="12.75">
      <c r="B13">
        <v>0</v>
      </c>
      <c r="C13">
        <f>B12</f>
        <v>1</v>
      </c>
      <c r="D13">
        <f>C12</f>
        <v>6</v>
      </c>
      <c r="E13">
        <f>D12</f>
        <v>12</v>
      </c>
      <c r="F13">
        <f>E12</f>
        <v>14</v>
      </c>
      <c r="G13">
        <f>F12</f>
        <v>17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selection activeCell="A6" sqref="A6"/>
    </sheetView>
  </sheetViews>
  <sheetFormatPr defaultColWidth="9.00390625" defaultRowHeight="12.75"/>
  <cols>
    <col min="1" max="1" width="17.125" style="0" customWidth="1"/>
    <col min="2" max="2" width="23.875" style="0" customWidth="1"/>
  </cols>
  <sheetData>
    <row r="1" spans="1:14" ht="12.75">
      <c r="A1" s="2"/>
      <c r="B1" s="2" t="s">
        <v>8</v>
      </c>
      <c r="C1" s="2">
        <v>130000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2"/>
      <c r="B2" s="2" t="s">
        <v>9</v>
      </c>
      <c r="C2" s="2">
        <v>33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M3" s="2"/>
      <c r="N3" s="2"/>
    </row>
    <row r="4" spans="1:14" ht="12.75">
      <c r="A4" s="2"/>
      <c r="B4" s="2" t="s">
        <v>0</v>
      </c>
      <c r="C4" s="2" t="s">
        <v>1</v>
      </c>
      <c r="D4" s="2" t="s">
        <v>2</v>
      </c>
      <c r="E4" s="2" t="s">
        <v>10</v>
      </c>
      <c r="F4" s="2" t="s">
        <v>3</v>
      </c>
      <c r="G4" s="2" t="s">
        <v>4</v>
      </c>
      <c r="H4" s="2" t="s">
        <v>5</v>
      </c>
      <c r="I4" s="2" t="s">
        <v>7</v>
      </c>
      <c r="J4" s="2" t="s">
        <v>6</v>
      </c>
      <c r="K4" s="2" t="s">
        <v>12</v>
      </c>
      <c r="L4" s="2" t="s">
        <v>11</v>
      </c>
      <c r="M4" s="2" t="s">
        <v>19</v>
      </c>
      <c r="N4" s="2"/>
    </row>
    <row r="5" spans="1:14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2.75">
      <c r="A6" s="4" t="s">
        <v>13</v>
      </c>
      <c r="B6" s="21" t="s">
        <v>20</v>
      </c>
      <c r="C6" s="21">
        <v>13.3</v>
      </c>
      <c r="D6" s="21">
        <f>2*(12+2*(14-1))/60</f>
        <v>1.2666666666666666</v>
      </c>
      <c r="E6" s="21">
        <v>45</v>
      </c>
      <c r="F6" s="21">
        <f>C6*I6+J6+0.1</f>
        <v>23.875</v>
      </c>
      <c r="G6" s="21">
        <v>24</v>
      </c>
      <c r="H6" s="21">
        <f>I6*C6*0.5*E6/($C$2+D6*E6*0.5)</f>
        <v>4.865853658536586</v>
      </c>
      <c r="I6" s="4">
        <v>1</v>
      </c>
      <c r="J6" s="2">
        <v>10.475</v>
      </c>
      <c r="L6" s="2">
        <v>20</v>
      </c>
      <c r="M6" s="2">
        <v>1</v>
      </c>
      <c r="N6" s="2"/>
    </row>
    <row r="7" spans="1:14" ht="12.75">
      <c r="A7" s="4" t="s">
        <v>14</v>
      </c>
      <c r="B7" s="21" t="s">
        <v>22</v>
      </c>
      <c r="C7" s="21">
        <f>6+7.1</f>
        <v>13.1</v>
      </c>
      <c r="D7" s="21">
        <f>2*(12+2*(14-1))/60</f>
        <v>1.2666666666666666</v>
      </c>
      <c r="E7" s="21">
        <v>40.5</v>
      </c>
      <c r="F7" s="21">
        <f>C7*I7+J7+0.1</f>
        <v>18.700000000000003</v>
      </c>
      <c r="G7" s="21">
        <v>24</v>
      </c>
      <c r="H7" s="21">
        <f>I7*C7*0.5*E7/($C$2+D7*E7*0.5)</f>
        <v>4.523017902813299</v>
      </c>
      <c r="I7" s="4">
        <v>1</v>
      </c>
      <c r="J7" s="2">
        <v>5.5</v>
      </c>
      <c r="K7" s="2">
        <v>4.4</v>
      </c>
      <c r="L7" s="2">
        <v>11.5</v>
      </c>
      <c r="M7" s="2">
        <v>3</v>
      </c>
      <c r="N7" s="2"/>
    </row>
    <row r="8" spans="1:14" ht="12.75">
      <c r="A8" s="4" t="s">
        <v>16</v>
      </c>
      <c r="B8" s="21" t="s">
        <v>23</v>
      </c>
      <c r="C8" s="21">
        <v>11.4</v>
      </c>
      <c r="D8" s="21">
        <f>2*(12+2*(12-1))/60</f>
        <v>1.1333333333333333</v>
      </c>
      <c r="E8" s="21">
        <v>40.5</v>
      </c>
      <c r="F8" s="21">
        <f>C8*I8+J8+K8+0.1</f>
        <v>20.92</v>
      </c>
      <c r="G8" s="21">
        <v>24</v>
      </c>
      <c r="H8" s="21">
        <f>I8*C8*0.5*E8/($C$2+D8*E8*0.5)</f>
        <v>4.126005361930295</v>
      </c>
      <c r="I8" s="4">
        <v>1</v>
      </c>
      <c r="J8" s="2">
        <v>6.45</v>
      </c>
      <c r="K8" s="2">
        <v>2.97</v>
      </c>
      <c r="L8" s="2">
        <v>25.1</v>
      </c>
      <c r="M8" s="2">
        <v>4</v>
      </c>
      <c r="N8" s="2"/>
    </row>
    <row r="9" spans="1:14" ht="12.75">
      <c r="A9" s="4" t="s">
        <v>17</v>
      </c>
      <c r="B9" s="21" t="s">
        <v>23</v>
      </c>
      <c r="C9" s="21">
        <v>11.4</v>
      </c>
      <c r="D9" s="21">
        <f>2*26/60</f>
        <v>0.8666666666666667</v>
      </c>
      <c r="E9" s="21">
        <v>40.5</v>
      </c>
      <c r="F9" s="21">
        <f>C9*I9+J9+K9+0.1</f>
        <v>20.92</v>
      </c>
      <c r="G9" s="21">
        <v>24</v>
      </c>
      <c r="H9" s="21">
        <f>I9*C9*0.5*E9/($C$2+D9*E9*0.5)</f>
        <v>4.566765578635015</v>
      </c>
      <c r="I9" s="4">
        <v>1</v>
      </c>
      <c r="J9" s="2">
        <v>6.45</v>
      </c>
      <c r="K9" s="2">
        <v>2.97</v>
      </c>
      <c r="L9" s="2">
        <v>25.1</v>
      </c>
      <c r="M9" s="2">
        <v>2</v>
      </c>
      <c r="N9" s="2"/>
    </row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  <row r="11" spans="1:9" ht="12.75">
      <c r="A11" s="2"/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5" ht="12.75">
      <c r="A15" t="s">
        <v>42</v>
      </c>
    </row>
    <row r="17" spans="1:5" ht="12.75">
      <c r="A17" t="s">
        <v>40</v>
      </c>
      <c r="B17" s="2" t="s">
        <v>38</v>
      </c>
      <c r="C17" s="2" t="s">
        <v>39</v>
      </c>
      <c r="D17" s="2" t="s">
        <v>5</v>
      </c>
      <c r="E17" s="2" t="s">
        <v>41</v>
      </c>
    </row>
    <row r="18" spans="1:5" ht="12.75">
      <c r="A18">
        <f>C1</f>
        <v>130000</v>
      </c>
      <c r="B18" s="2">
        <v>365</v>
      </c>
      <c r="C18" s="2">
        <v>15</v>
      </c>
      <c r="D18" s="2">
        <f>H6</f>
        <v>4.865853658536586</v>
      </c>
      <c r="E18" s="2">
        <f>A18/1000/2/D18</f>
        <v>13.358395989974936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B6" sqref="B6:I9"/>
    </sheetView>
  </sheetViews>
  <sheetFormatPr defaultColWidth="9.00390625" defaultRowHeight="12.75"/>
  <cols>
    <col min="1" max="1" width="17.125" style="0" customWidth="1"/>
    <col min="2" max="2" width="23.75390625" style="0" customWidth="1"/>
    <col min="9" max="9" width="9.875" style="0" customWidth="1"/>
  </cols>
  <sheetData>
    <row r="1" spans="1:15" ht="12.75">
      <c r="A1" s="2"/>
      <c r="B1" s="2" t="s">
        <v>8</v>
      </c>
      <c r="C1" s="2">
        <v>80000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>
      <c r="A2" s="2"/>
      <c r="B2" s="2" t="s">
        <v>9</v>
      </c>
      <c r="C2" s="2">
        <v>13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M3" s="2"/>
      <c r="N3" s="2"/>
      <c r="O3" s="2"/>
    </row>
    <row r="4" spans="1:15" ht="12.75">
      <c r="A4" s="2"/>
      <c r="B4" s="2" t="s">
        <v>0</v>
      </c>
      <c r="C4" s="2" t="s">
        <v>1</v>
      </c>
      <c r="D4" s="2" t="s">
        <v>2</v>
      </c>
      <c r="E4" s="2" t="s">
        <v>10</v>
      </c>
      <c r="F4" s="2" t="s">
        <v>3</v>
      </c>
      <c r="G4" s="2" t="s">
        <v>4</v>
      </c>
      <c r="H4" s="2" t="s">
        <v>5</v>
      </c>
      <c r="I4" s="1" t="s">
        <v>7</v>
      </c>
      <c r="J4" s="2" t="s">
        <v>6</v>
      </c>
      <c r="K4" s="2" t="s">
        <v>12</v>
      </c>
      <c r="L4" s="2" t="s">
        <v>11</v>
      </c>
      <c r="M4" s="2" t="s">
        <v>19</v>
      </c>
      <c r="N4" s="2"/>
      <c r="O4" s="2"/>
    </row>
    <row r="5" spans="1:15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4" t="s">
        <v>13</v>
      </c>
      <c r="B6" s="4" t="s">
        <v>20</v>
      </c>
      <c r="C6" s="4">
        <v>13.3</v>
      </c>
      <c r="D6" s="4">
        <f>2*(12+2*(11-1))/60</f>
        <v>1.0666666666666667</v>
      </c>
      <c r="E6" s="4">
        <v>45</v>
      </c>
      <c r="F6" s="4">
        <f>C6*I6+J6+0.1</f>
        <v>21.215000000000003</v>
      </c>
      <c r="G6" s="4">
        <v>24</v>
      </c>
      <c r="H6" s="4">
        <f>I6*C6*0.5*E6/($C$2+D6*E6*0.5)</f>
        <v>6.47027027027027</v>
      </c>
      <c r="I6" s="4">
        <v>0.8</v>
      </c>
      <c r="J6" s="2">
        <v>10.475</v>
      </c>
      <c r="L6" s="2">
        <v>20</v>
      </c>
      <c r="M6" s="2">
        <v>4</v>
      </c>
      <c r="N6" s="2"/>
      <c r="O6" s="2"/>
    </row>
    <row r="7" spans="1:15" ht="12.75">
      <c r="A7" s="4" t="s">
        <v>14</v>
      </c>
      <c r="B7" s="4" t="s">
        <v>27</v>
      </c>
      <c r="C7" s="4">
        <f>10+6.4</f>
        <v>16.4</v>
      </c>
      <c r="D7" s="4">
        <f>2*(12+2*(14-1))/60</f>
        <v>1.2666666666666666</v>
      </c>
      <c r="E7" s="4">
        <v>40.5</v>
      </c>
      <c r="F7" s="4">
        <f>C7*I7+J7+K7+0.1</f>
        <v>23.430000000000003</v>
      </c>
      <c r="G7" s="4">
        <v>24</v>
      </c>
      <c r="H7" s="4">
        <f>I7*C7*0.5*E7/($C$2+D7*E7*0.5)</f>
        <v>6.873997412677879</v>
      </c>
      <c r="I7" s="4">
        <v>0.8</v>
      </c>
      <c r="J7" s="2">
        <v>7.61</v>
      </c>
      <c r="K7" s="2">
        <v>2.6</v>
      </c>
      <c r="L7" s="2">
        <v>11.5</v>
      </c>
      <c r="M7" s="2">
        <v>2</v>
      </c>
      <c r="N7" s="2"/>
      <c r="O7" s="2"/>
    </row>
    <row r="8" spans="1:15" ht="12.75">
      <c r="A8" s="4" t="s">
        <v>16</v>
      </c>
      <c r="B8" s="4" t="s">
        <v>28</v>
      </c>
      <c r="C8" s="4">
        <v>15</v>
      </c>
      <c r="D8" s="4">
        <f>2*(12+2*(12-1))/60</f>
        <v>1.1333333333333333</v>
      </c>
      <c r="E8" s="4">
        <v>40.5</v>
      </c>
      <c r="F8" s="4">
        <f>C8*I8+J8+K8+0.1</f>
        <v>22.35</v>
      </c>
      <c r="G8" s="4">
        <v>24</v>
      </c>
      <c r="H8" s="4">
        <f>I8*C8*0.5*E8/($C$2+D8*E8*0.5)</f>
        <v>6.7593880389429755</v>
      </c>
      <c r="I8" s="4">
        <v>0.8</v>
      </c>
      <c r="J8" s="2">
        <v>6.45</v>
      </c>
      <c r="K8" s="2">
        <v>3.8</v>
      </c>
      <c r="L8" s="2">
        <v>25.1</v>
      </c>
      <c r="M8" s="2">
        <v>3</v>
      </c>
      <c r="N8" s="2"/>
      <c r="O8" s="2"/>
    </row>
    <row r="9" spans="1:15" ht="12.75">
      <c r="A9" s="4" t="s">
        <v>17</v>
      </c>
      <c r="B9" s="4" t="s">
        <v>28</v>
      </c>
      <c r="C9" s="4">
        <v>15</v>
      </c>
      <c r="D9" s="4">
        <f>2*26/60</f>
        <v>0.8666666666666667</v>
      </c>
      <c r="E9" s="4">
        <v>40.5</v>
      </c>
      <c r="F9" s="4">
        <f>C9*I9+J9+K9+0.1</f>
        <v>22.35</v>
      </c>
      <c r="G9" s="4">
        <v>24</v>
      </c>
      <c r="H9" s="4">
        <f>I9*C9*0.5*E9/($C$2+D9*E9*0.5)</f>
        <v>7.954173486088379</v>
      </c>
      <c r="I9" s="4">
        <v>0.8</v>
      </c>
      <c r="J9" s="2">
        <v>6.45</v>
      </c>
      <c r="K9" s="2">
        <v>3.8</v>
      </c>
      <c r="L9" s="2">
        <v>25.1</v>
      </c>
      <c r="M9" s="2">
        <v>1</v>
      </c>
      <c r="N9" s="2"/>
      <c r="O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5" ht="12.75">
      <c r="A15" t="s">
        <v>43</v>
      </c>
    </row>
    <row r="17" spans="1:5" ht="12.75">
      <c r="A17" t="s">
        <v>40</v>
      </c>
      <c r="B17" s="2" t="s">
        <v>38</v>
      </c>
      <c r="C17" s="2" t="s">
        <v>39</v>
      </c>
      <c r="D17" s="2" t="s">
        <v>5</v>
      </c>
      <c r="E17" s="2" t="s">
        <v>41</v>
      </c>
    </row>
    <row r="18" spans="1:5" ht="12.75">
      <c r="A18">
        <f>C1</f>
        <v>80000</v>
      </c>
      <c r="B18" s="2">
        <v>250</v>
      </c>
      <c r="C18" s="2">
        <v>8</v>
      </c>
      <c r="D18" s="2">
        <f>H9</f>
        <v>7.954173486088379</v>
      </c>
      <c r="E18" s="2">
        <f>A18/1000/2/D18</f>
        <v>5.02880658436214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1">
      <selection activeCell="D9" sqref="D9"/>
    </sheetView>
  </sheetViews>
  <sheetFormatPr defaultColWidth="9.00390625" defaultRowHeight="12.75"/>
  <cols>
    <col min="1" max="1" width="17.25390625" style="0" customWidth="1"/>
    <col min="2" max="2" width="24.75390625" style="0" customWidth="1"/>
    <col min="9" max="9" width="10.25390625" style="0" customWidth="1"/>
  </cols>
  <sheetData>
    <row r="1" spans="1:15" ht="12.75">
      <c r="A1" s="2"/>
      <c r="B1" s="2" t="s">
        <v>8</v>
      </c>
      <c r="C1" s="2">
        <v>12000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>
      <c r="A2" s="2"/>
      <c r="B2" s="2" t="s">
        <v>9</v>
      </c>
      <c r="C2" s="2">
        <v>39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2.75">
      <c r="A4" s="2"/>
      <c r="B4" s="2" t="s">
        <v>0</v>
      </c>
      <c r="C4" s="2" t="s">
        <v>1</v>
      </c>
      <c r="D4" s="2" t="s">
        <v>2</v>
      </c>
      <c r="E4" s="2" t="s">
        <v>10</v>
      </c>
      <c r="F4" s="2" t="s">
        <v>3</v>
      </c>
      <c r="G4" s="2" t="s">
        <v>4</v>
      </c>
      <c r="H4" s="2" t="s">
        <v>5</v>
      </c>
      <c r="I4" s="2" t="s">
        <v>7</v>
      </c>
      <c r="J4" s="2" t="s">
        <v>6</v>
      </c>
      <c r="K4" s="2" t="s">
        <v>12</v>
      </c>
      <c r="L4" s="2" t="s">
        <v>11</v>
      </c>
      <c r="M4" s="2" t="s">
        <v>19</v>
      </c>
      <c r="N4" s="2"/>
      <c r="O4" s="2"/>
    </row>
    <row r="5" spans="1:15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2" t="s">
        <v>13</v>
      </c>
      <c r="B6" s="2" t="s">
        <v>30</v>
      </c>
      <c r="C6" s="2">
        <v>14</v>
      </c>
      <c r="D6" s="2">
        <f>2*(12+2*(12-1))/60</f>
        <v>1.1333333333333333</v>
      </c>
      <c r="E6" s="2">
        <v>45</v>
      </c>
      <c r="F6" s="2">
        <f>C6*I6+J6+0.1</f>
        <v>23.53</v>
      </c>
      <c r="G6" s="2">
        <v>24</v>
      </c>
      <c r="H6" s="2">
        <f>I6*C6*0.5*E6/($C$2+D6*E6*0.5)</f>
        <v>3.906976744186047</v>
      </c>
      <c r="I6" s="2">
        <v>0.8</v>
      </c>
      <c r="J6" s="2">
        <v>12.23</v>
      </c>
      <c r="K6" s="2"/>
      <c r="L6" s="2">
        <v>23.5</v>
      </c>
      <c r="M6" s="2">
        <v>2</v>
      </c>
      <c r="N6" s="2"/>
      <c r="O6" s="2"/>
    </row>
    <row r="7" spans="1:15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.75">
      <c r="A8" s="4" t="s">
        <v>16</v>
      </c>
      <c r="B8" s="4" t="s">
        <v>32</v>
      </c>
      <c r="C8" s="4">
        <v>14</v>
      </c>
      <c r="D8" s="4">
        <f>2*(13+3*(12-1))/60</f>
        <v>1.5333333333333334</v>
      </c>
      <c r="E8" s="4">
        <v>40.5</v>
      </c>
      <c r="F8" s="4">
        <f>C8*I8+J8+K8+0.1</f>
        <v>22.750000000000004</v>
      </c>
      <c r="G8" s="4">
        <v>24</v>
      </c>
      <c r="H8" s="4">
        <f>I8*C8*0.5*E8/($C$2+D8*E8*0.5)</f>
        <v>3.237687366167024</v>
      </c>
      <c r="I8" s="4">
        <v>0.8</v>
      </c>
      <c r="J8" s="2">
        <v>6.45</v>
      </c>
      <c r="K8" s="2">
        <v>5</v>
      </c>
      <c r="L8" s="2">
        <v>25.1</v>
      </c>
      <c r="M8" s="2">
        <v>3</v>
      </c>
      <c r="N8" s="2"/>
      <c r="O8" s="2"/>
    </row>
    <row r="9" spans="1:15" ht="12.75">
      <c r="A9" s="4" t="s">
        <v>17</v>
      </c>
      <c r="B9" s="4" t="s">
        <v>32</v>
      </c>
      <c r="C9" s="4">
        <v>14</v>
      </c>
      <c r="D9" s="4">
        <f>2*26/60</f>
        <v>0.8666666666666667</v>
      </c>
      <c r="E9" s="4">
        <v>40.5</v>
      </c>
      <c r="F9" s="4">
        <f>C9*I9+J9+K9+0.1</f>
        <v>22.750000000000004</v>
      </c>
      <c r="G9" s="4">
        <v>24</v>
      </c>
      <c r="H9" s="4">
        <f>I9*C9*0.5*E9/($C$2+D9*E9*0.5)</f>
        <v>4.0106100795755975</v>
      </c>
      <c r="I9" s="4">
        <v>0.8</v>
      </c>
      <c r="J9" s="2">
        <v>6.45</v>
      </c>
      <c r="K9" s="2">
        <v>5</v>
      </c>
      <c r="L9" s="2">
        <v>25.1</v>
      </c>
      <c r="M9" s="2">
        <v>1</v>
      </c>
      <c r="N9" s="2"/>
      <c r="O9" s="2"/>
    </row>
    <row r="10" spans="1:15" ht="12.75">
      <c r="A10" s="4" t="s">
        <v>21</v>
      </c>
      <c r="B10" s="4" t="s">
        <v>31</v>
      </c>
      <c r="C10" s="4">
        <v>5.47</v>
      </c>
      <c r="D10" s="4">
        <f>2*(13+3*(5-1))/60</f>
        <v>0.8333333333333334</v>
      </c>
      <c r="E10" s="4">
        <v>45</v>
      </c>
      <c r="F10" s="4">
        <f>C10*I10+J10+K10+0.1</f>
        <v>10.856</v>
      </c>
      <c r="G10" s="4">
        <v>24</v>
      </c>
      <c r="H10" s="4">
        <f>I10*C10*0.5*E10/($C$2+D10*E10*0.5)</f>
        <v>1.704935064935065</v>
      </c>
      <c r="I10" s="4">
        <v>0.8</v>
      </c>
      <c r="J10" s="2">
        <v>6.38</v>
      </c>
      <c r="K10" s="2"/>
      <c r="L10" s="2">
        <v>11.5</v>
      </c>
      <c r="M10" s="2">
        <v>4</v>
      </c>
      <c r="N10" s="2"/>
      <c r="O10" s="2"/>
    </row>
    <row r="11" spans="1:15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>
      <c r="A15" t="s">
        <v>42</v>
      </c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6:15" ht="12.75"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2.75">
      <c r="A17" t="s">
        <v>40</v>
      </c>
      <c r="B17" s="2" t="s">
        <v>38</v>
      </c>
      <c r="C17" s="2" t="s">
        <v>39</v>
      </c>
      <c r="D17" s="2" t="s">
        <v>5</v>
      </c>
      <c r="E17" s="2" t="s">
        <v>41</v>
      </c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2.75">
      <c r="A18">
        <f>C1</f>
        <v>12000</v>
      </c>
      <c r="B18" s="2">
        <v>250</v>
      </c>
      <c r="C18" s="2">
        <v>8</v>
      </c>
      <c r="D18" s="2">
        <f>H9</f>
        <v>4.0106100795755975</v>
      </c>
      <c r="E18" s="2">
        <f>A18/1000/2/D18</f>
        <v>1.4960317460317458</v>
      </c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selection activeCell="D6" sqref="D6"/>
    </sheetView>
  </sheetViews>
  <sheetFormatPr defaultColWidth="9.00390625" defaultRowHeight="12.75"/>
  <cols>
    <col min="1" max="1" width="14.125" style="0" customWidth="1"/>
    <col min="2" max="2" width="24.625" style="0" customWidth="1"/>
  </cols>
  <sheetData>
    <row r="1" spans="1:14" ht="12.75">
      <c r="A1" s="2"/>
      <c r="B1" s="2" t="s">
        <v>8</v>
      </c>
      <c r="C1" s="2">
        <v>40000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2"/>
      <c r="B2" s="2" t="s">
        <v>9</v>
      </c>
      <c r="C2" s="2">
        <v>12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"/>
      <c r="B4" s="2" t="s">
        <v>0</v>
      </c>
      <c r="C4" s="2" t="s">
        <v>1</v>
      </c>
      <c r="D4" s="2" t="s">
        <v>2</v>
      </c>
      <c r="E4" s="2" t="s">
        <v>10</v>
      </c>
      <c r="F4" s="2" t="s">
        <v>3</v>
      </c>
      <c r="G4" s="2" t="s">
        <v>4</v>
      </c>
      <c r="H4" s="2" t="s">
        <v>5</v>
      </c>
      <c r="I4" s="2" t="s">
        <v>7</v>
      </c>
      <c r="J4" s="2" t="s">
        <v>6</v>
      </c>
      <c r="K4" s="2" t="s">
        <v>12</v>
      </c>
      <c r="L4" s="2" t="s">
        <v>11</v>
      </c>
      <c r="M4" s="2" t="s">
        <v>19</v>
      </c>
      <c r="N4" s="2"/>
    </row>
    <row r="5" spans="1:14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2.75">
      <c r="A6" s="2" t="s">
        <v>24</v>
      </c>
      <c r="B6" s="2" t="s">
        <v>33</v>
      </c>
      <c r="C6" s="2">
        <v>23.4</v>
      </c>
      <c r="D6" s="2">
        <f>2*23.4/60</f>
        <v>0.7799999999999999</v>
      </c>
      <c r="E6" s="2">
        <v>55</v>
      </c>
      <c r="F6" s="2">
        <f>C6*I6+J6+K6+0.1</f>
        <v>20.73</v>
      </c>
      <c r="G6" s="2">
        <v>32</v>
      </c>
      <c r="H6" s="2">
        <f>I6*C6*0.5*E6/($C$2+D6*E6*0.5)</f>
        <v>8.656950672645738</v>
      </c>
      <c r="I6" s="2">
        <v>0.45</v>
      </c>
      <c r="J6" s="2">
        <v>10.1</v>
      </c>
      <c r="K6" s="2"/>
      <c r="L6" s="2"/>
      <c r="M6" s="2">
        <v>3</v>
      </c>
      <c r="N6" s="2"/>
    </row>
    <row r="7" spans="1:14" ht="12.75">
      <c r="A7" s="2" t="s">
        <v>26</v>
      </c>
      <c r="B7" s="2" t="s">
        <v>34</v>
      </c>
      <c r="C7" s="2">
        <f>18+10</f>
        <v>28</v>
      </c>
      <c r="D7" s="2">
        <f>2*28/60</f>
        <v>0.9333333333333333</v>
      </c>
      <c r="E7" s="2">
        <v>49.5</v>
      </c>
      <c r="F7" s="2">
        <f>C7*I7+J7+K7+0.1</f>
        <v>30.300000000000004</v>
      </c>
      <c r="G7" s="2">
        <v>32</v>
      </c>
      <c r="H7" s="2">
        <f>I7*C7*0.5*E7/($C$2+D7*E7*0.5)</f>
        <v>8.884615384615383</v>
      </c>
      <c r="I7" s="2">
        <v>0.45</v>
      </c>
      <c r="J7" s="2">
        <v>13.5</v>
      </c>
      <c r="K7" s="2">
        <v>4.1</v>
      </c>
      <c r="L7" s="2"/>
      <c r="M7" s="2">
        <v>2</v>
      </c>
      <c r="N7" s="2"/>
    </row>
    <row r="8" spans="1:14" ht="12.75">
      <c r="A8" s="3" t="s">
        <v>16</v>
      </c>
      <c r="B8" s="3" t="s">
        <v>35</v>
      </c>
      <c r="C8" s="2">
        <v>30</v>
      </c>
      <c r="D8" s="2">
        <f>2*30/60</f>
        <v>1</v>
      </c>
      <c r="E8" s="2">
        <v>49.5</v>
      </c>
      <c r="F8" s="2">
        <f>C8*I8+J8+K8+0.1</f>
        <v>30.6</v>
      </c>
      <c r="G8" s="2">
        <v>32</v>
      </c>
      <c r="H8" s="3">
        <f>I8*C8*0.5*E8/($C$2+D8*E8*0.5)</f>
        <v>9.091836734693878</v>
      </c>
      <c r="I8" s="2">
        <v>0.45</v>
      </c>
      <c r="J8" s="2">
        <v>7</v>
      </c>
      <c r="K8" s="2">
        <v>10</v>
      </c>
      <c r="L8" s="2">
        <v>33</v>
      </c>
      <c r="M8" s="2">
        <v>1</v>
      </c>
      <c r="N8" s="2"/>
    </row>
    <row r="9" spans="1:14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5" ht="12.75">
      <c r="A15" t="s">
        <v>42</v>
      </c>
    </row>
    <row r="17" spans="1:5" ht="12.75">
      <c r="A17" t="s">
        <v>40</v>
      </c>
      <c r="B17" s="2" t="s">
        <v>38</v>
      </c>
      <c r="C17" s="2" t="s">
        <v>39</v>
      </c>
      <c r="D17" s="2" t="s">
        <v>5</v>
      </c>
      <c r="E17" s="2" t="s">
        <v>41</v>
      </c>
    </row>
    <row r="18" spans="1:5" ht="12.75">
      <c r="A18">
        <f>C1</f>
        <v>40000</v>
      </c>
      <c r="B18" s="2">
        <v>365</v>
      </c>
      <c r="C18" s="2">
        <v>15</v>
      </c>
      <c r="D18" s="2">
        <f>H8</f>
        <v>9.091836734693878</v>
      </c>
      <c r="E18" s="2">
        <f>A18/1000/2/D18</f>
        <v>2.199775533108866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B1">
      <selection activeCell="D7" sqref="D7"/>
    </sheetView>
  </sheetViews>
  <sheetFormatPr defaultColWidth="9.00390625" defaultRowHeight="12.75"/>
  <cols>
    <col min="1" max="1" width="14.00390625" style="0" customWidth="1"/>
    <col min="2" max="2" width="24.625" style="0" customWidth="1"/>
  </cols>
  <sheetData>
    <row r="1" spans="1:14" ht="12.75">
      <c r="A1" s="2"/>
      <c r="B1" s="2" t="s">
        <v>8</v>
      </c>
      <c r="C1" s="2">
        <v>280000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2"/>
      <c r="B2" s="2" t="s">
        <v>9</v>
      </c>
      <c r="C2" s="2">
        <v>20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"/>
      <c r="B4" s="2" t="s">
        <v>0</v>
      </c>
      <c r="C4" s="2" t="s">
        <v>1</v>
      </c>
      <c r="D4" s="2" t="s">
        <v>2</v>
      </c>
      <c r="E4" s="2" t="s">
        <v>10</v>
      </c>
      <c r="F4" s="2" t="s">
        <v>3</v>
      </c>
      <c r="G4" s="2" t="s">
        <v>4</v>
      </c>
      <c r="H4" s="2" t="s">
        <v>5</v>
      </c>
      <c r="I4" s="2" t="s">
        <v>7</v>
      </c>
      <c r="J4" s="2" t="s">
        <v>6</v>
      </c>
      <c r="K4" s="2" t="s">
        <v>12</v>
      </c>
      <c r="L4" s="2" t="s">
        <v>11</v>
      </c>
      <c r="M4" s="2" t="s">
        <v>19</v>
      </c>
      <c r="N4" s="2"/>
    </row>
    <row r="5" spans="1:14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2.75">
      <c r="A6" s="3" t="s">
        <v>24</v>
      </c>
      <c r="B6" s="3" t="s">
        <v>25</v>
      </c>
      <c r="C6" s="2">
        <v>13</v>
      </c>
      <c r="D6" s="2">
        <f>2*13/60</f>
        <v>0.43333333333333335</v>
      </c>
      <c r="E6" s="2">
        <v>45</v>
      </c>
      <c r="F6" s="2">
        <f>C6*I6+J6+K6+0.1</f>
        <v>22.150000000000002</v>
      </c>
      <c r="G6" s="2">
        <v>24</v>
      </c>
      <c r="H6" s="3">
        <f>I6*C6*0.5*E6/($C$2+D6*E6*0.5)</f>
        <v>9.831932773109244</v>
      </c>
      <c r="I6" s="2">
        <v>1</v>
      </c>
      <c r="J6" s="2">
        <v>9.05</v>
      </c>
      <c r="K6" s="2"/>
      <c r="L6" s="2">
        <v>11.5</v>
      </c>
      <c r="M6" s="2">
        <v>1</v>
      </c>
      <c r="N6" s="2"/>
    </row>
    <row r="7" spans="1:14" ht="12.75">
      <c r="A7" s="2" t="s">
        <v>13</v>
      </c>
      <c r="B7" s="2" t="s">
        <v>20</v>
      </c>
      <c r="C7" s="2">
        <v>13.3</v>
      </c>
      <c r="D7" s="4">
        <f>(12+2*(14-1))/60+E13/3600</f>
        <v>0.6708333333333333</v>
      </c>
      <c r="E7" s="2">
        <v>45</v>
      </c>
      <c r="F7" s="2">
        <f>C7*I7+J7+K7+0.1</f>
        <v>23.875</v>
      </c>
      <c r="G7" s="2">
        <v>24</v>
      </c>
      <c r="H7" s="2">
        <f>I7*C7*0.5*E7/($C$2+D7*E7*0.5)</f>
        <v>8.527159394479074</v>
      </c>
      <c r="I7" s="2">
        <v>1</v>
      </c>
      <c r="J7" s="2">
        <v>10.475</v>
      </c>
      <c r="K7" s="2"/>
      <c r="L7" s="2">
        <v>20</v>
      </c>
      <c r="M7" s="2">
        <v>3</v>
      </c>
      <c r="N7" s="2"/>
    </row>
    <row r="8" spans="1:14" ht="12.75">
      <c r="A8" s="2" t="s">
        <v>26</v>
      </c>
      <c r="B8" s="2" t="s">
        <v>36</v>
      </c>
      <c r="C8" s="2">
        <f>7+5.7</f>
        <v>12.7</v>
      </c>
      <c r="D8" s="2">
        <f>2*12.7/60</f>
        <v>0.4233333333333333</v>
      </c>
      <c r="E8" s="2">
        <v>40.5</v>
      </c>
      <c r="F8" s="2">
        <f>C8*I8+J8+K8+0.1</f>
        <v>22.845000000000002</v>
      </c>
      <c r="G8" s="2">
        <v>24</v>
      </c>
      <c r="H8" s="2">
        <f>I8*C8*0.5*E8/($C$2+D8*E8*0.5)</f>
        <v>9.000787470469858</v>
      </c>
      <c r="I8" s="2">
        <v>1</v>
      </c>
      <c r="J8" s="2">
        <v>6.745</v>
      </c>
      <c r="K8" s="2">
        <v>3.3</v>
      </c>
      <c r="L8" s="2">
        <v>11.5</v>
      </c>
      <c r="M8" s="2">
        <v>2</v>
      </c>
      <c r="N8" s="2"/>
    </row>
    <row r="9" spans="1:14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2.75">
      <c r="A10" s="2"/>
      <c r="B10" s="2"/>
      <c r="C10" s="2"/>
      <c r="D10" s="4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2.75">
      <c r="A11" s="2"/>
      <c r="B11" s="1" t="s">
        <v>233</v>
      </c>
      <c r="C11" t="s">
        <v>172</v>
      </c>
      <c r="I11" s="2"/>
      <c r="J11" s="2"/>
      <c r="K11" s="2"/>
      <c r="L11" s="2"/>
      <c r="M11" s="2"/>
      <c r="N11" s="2"/>
    </row>
    <row r="12" ht="12.75">
      <c r="C12" t="s">
        <v>234</v>
      </c>
    </row>
    <row r="13" spans="3:5" ht="12.75">
      <c r="C13" t="s">
        <v>235</v>
      </c>
      <c r="E13">
        <v>135</v>
      </c>
    </row>
    <row r="15" ht="12.75">
      <c r="A15" t="s">
        <v>42</v>
      </c>
    </row>
    <row r="17" spans="1:5" ht="12.75">
      <c r="A17" t="s">
        <v>40</v>
      </c>
      <c r="B17" s="2" t="s">
        <v>38</v>
      </c>
      <c r="C17" s="2" t="s">
        <v>39</v>
      </c>
      <c r="D17" s="2" t="s">
        <v>5</v>
      </c>
      <c r="E17" s="2" t="s">
        <v>41</v>
      </c>
    </row>
    <row r="18" spans="1:5" ht="12.75">
      <c r="A18">
        <f>C1</f>
        <v>280000</v>
      </c>
      <c r="B18" s="2">
        <v>365</v>
      </c>
      <c r="C18" s="2">
        <v>15</v>
      </c>
      <c r="D18" s="2">
        <f>H6</f>
        <v>9.831932773109244</v>
      </c>
      <c r="E18" s="2">
        <f>A18/1000/2/D18</f>
        <v>14.239316239316238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8" sqref="A8"/>
    </sheetView>
  </sheetViews>
  <sheetFormatPr defaultColWidth="9.00390625" defaultRowHeight="12.75"/>
  <cols>
    <col min="1" max="1" width="13.625" style="0" customWidth="1"/>
    <col min="2" max="2" width="16.00390625" style="0" customWidth="1"/>
  </cols>
  <sheetData>
    <row r="1" spans="1:2" ht="12.75">
      <c r="A1" s="4" t="s">
        <v>24</v>
      </c>
      <c r="B1" s="4" t="s">
        <v>25</v>
      </c>
    </row>
    <row r="3" ht="12.75">
      <c r="A3" t="s">
        <v>44</v>
      </c>
    </row>
    <row r="4" spans="1:6" ht="12.75">
      <c r="A4" t="s">
        <v>45</v>
      </c>
      <c r="B4" t="s">
        <v>46</v>
      </c>
      <c r="C4" t="s">
        <v>10</v>
      </c>
      <c r="D4" t="s">
        <v>47</v>
      </c>
      <c r="E4" t="s">
        <v>2</v>
      </c>
      <c r="F4" t="s">
        <v>5</v>
      </c>
    </row>
    <row r="5" spans="1:6" ht="12.75">
      <c r="A5">
        <f>(опилки!I6+щебень!I6)/2</f>
        <v>0.725</v>
      </c>
      <c r="B5">
        <f>(12+20)/52</f>
        <v>0.6153846153846154</v>
      </c>
      <c r="C5">
        <f>(12*55+40*45)/52</f>
        <v>47.30769230769231</v>
      </c>
      <c r="D5">
        <f>(12+20)/2</f>
        <v>16</v>
      </c>
      <c r="E5">
        <f>2*щебень!D6/3</f>
        <v>0.2888888888888889</v>
      </c>
      <c r="F5">
        <f>A5*щебень!C6*'BD-DC'!B5*'BD-DC'!C5/('BD-DC'!D5+'BD-DC'!E5*'BD-DC'!C5*'BD-DC'!B5)</f>
        <v>11.240546218487395</v>
      </c>
    </row>
    <row r="7" spans="1:2" ht="12.75">
      <c r="A7" t="s">
        <v>40</v>
      </c>
      <c r="B7" t="s">
        <v>48</v>
      </c>
    </row>
    <row r="8" spans="1:5" ht="12.75">
      <c r="A8">
        <f>опилки!C1/0.45+опилки!C1</f>
        <v>128888.88888888889</v>
      </c>
      <c r="B8">
        <f>280000-опилки!C1/0.45</f>
        <v>191111.11111111112</v>
      </c>
      <c r="E8">
        <f>40000/0.45</f>
        <v>88888.88888888889</v>
      </c>
    </row>
    <row r="10" ht="12.75">
      <c r="A10" t="s">
        <v>41</v>
      </c>
    </row>
    <row r="11" ht="12.75">
      <c r="A11">
        <f>A8/1000/2/F5</f>
        <v>5.733212887684432</v>
      </c>
    </row>
    <row r="13" ht="12.75">
      <c r="A13" t="s">
        <v>50</v>
      </c>
    </row>
    <row r="14" ht="12.75">
      <c r="A14">
        <f>B8/1000/2/щебень!H6</f>
        <v>9.718898385565051</v>
      </c>
    </row>
    <row r="16" spans="1:2" ht="12.75">
      <c r="A16" t="s">
        <v>52</v>
      </c>
      <c r="B16" t="s">
        <v>51</v>
      </c>
    </row>
    <row r="17" spans="1:2" ht="12.75">
      <c r="A17">
        <f>A11+A14</f>
        <v>15.452111273249482</v>
      </c>
      <c r="B17">
        <f>опилки!E18+щебень!E18</f>
        <v>16.439091772425105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3" sqref="A3"/>
    </sheetView>
  </sheetViews>
  <sheetFormatPr defaultColWidth="9.00390625" defaultRowHeight="12.75"/>
  <cols>
    <col min="2" max="2" width="9.625" style="0" customWidth="1"/>
  </cols>
  <sheetData>
    <row r="1" spans="2:7" ht="12.75">
      <c r="B1" t="s">
        <v>57</v>
      </c>
      <c r="C1" t="s">
        <v>58</v>
      </c>
      <c r="D1" t="s">
        <v>59</v>
      </c>
      <c r="E1" t="s">
        <v>60</v>
      </c>
      <c r="F1" t="s">
        <v>61</v>
      </c>
      <c r="G1" t="s">
        <v>75</v>
      </c>
    </row>
    <row r="2" spans="1:8" ht="12.75">
      <c r="A2" t="s">
        <v>49</v>
      </c>
      <c r="B2">
        <v>0</v>
      </c>
      <c r="C2">
        <v>33</v>
      </c>
      <c r="D2">
        <v>0</v>
      </c>
      <c r="E2">
        <v>33</v>
      </c>
      <c r="F2">
        <v>13</v>
      </c>
      <c r="G2">
        <v>25</v>
      </c>
      <c r="H2">
        <f>B2*$B$8+C2*$C$8+D2*$D$8+E2*$E$8+F2*$F$8+G2*$G$8</f>
        <v>807.7003424672444</v>
      </c>
    </row>
    <row r="3" spans="1:8" ht="12.75">
      <c r="A3" s="6" t="s">
        <v>53</v>
      </c>
      <c r="B3">
        <v>13</v>
      </c>
      <c r="C3">
        <v>20</v>
      </c>
      <c r="D3">
        <v>13</v>
      </c>
      <c r="E3">
        <v>20</v>
      </c>
      <c r="F3">
        <v>0</v>
      </c>
      <c r="G3">
        <v>12</v>
      </c>
      <c r="H3" s="8">
        <f>B3*$B$8+C3*$C$8+D3*$D$8+E3*$E$8+F3*$F$8+G3*$G$8</f>
        <v>490.50093205473314</v>
      </c>
    </row>
    <row r="4" spans="1:8" ht="12.75">
      <c r="A4" s="9" t="s">
        <v>54</v>
      </c>
      <c r="B4">
        <v>33</v>
      </c>
      <c r="C4">
        <v>0</v>
      </c>
      <c r="D4">
        <v>33</v>
      </c>
      <c r="E4">
        <v>0</v>
      </c>
      <c r="F4">
        <v>20</v>
      </c>
      <c r="G4">
        <v>20</v>
      </c>
      <c r="H4" s="9">
        <f>B4*$B$8+C4*$C$8+D4*$D$8+E4*$E$8+F4*$F$8+G4*$G$8</f>
        <v>503.959509415607</v>
      </c>
    </row>
    <row r="5" spans="1:8" ht="12.75">
      <c r="A5" t="s">
        <v>55</v>
      </c>
      <c r="B5">
        <v>25</v>
      </c>
      <c r="C5">
        <v>20</v>
      </c>
      <c r="D5">
        <v>25</v>
      </c>
      <c r="E5">
        <v>20</v>
      </c>
      <c r="F5">
        <v>12</v>
      </c>
      <c r="G5">
        <v>0</v>
      </c>
      <c r="H5">
        <f>B5*$B$8+C5*$C$8+D5*$D$8+E5*$E$8+F5*$F$8+G5*$G$8</f>
        <v>513.5517184258448</v>
      </c>
    </row>
    <row r="6" spans="1:8" ht="12.75">
      <c r="A6" t="s">
        <v>56</v>
      </c>
      <c r="B6">
        <v>22</v>
      </c>
      <c r="C6">
        <v>39</v>
      </c>
      <c r="D6">
        <v>22</v>
      </c>
      <c r="E6">
        <v>39</v>
      </c>
      <c r="F6">
        <v>31</v>
      </c>
      <c r="G6">
        <v>19</v>
      </c>
      <c r="H6">
        <f>B6*$B$8+C6*$C$8+D6*$D$8+E6*$E$8+F6*$F$8+G6*$G$8</f>
        <v>1071.656206515292</v>
      </c>
    </row>
    <row r="7" spans="2:7" ht="12.75">
      <c r="B7" t="s">
        <v>57</v>
      </c>
      <c r="C7" t="s">
        <v>58</v>
      </c>
      <c r="D7" t="s">
        <v>59</v>
      </c>
      <c r="E7" t="s">
        <v>60</v>
      </c>
      <c r="F7" t="s">
        <v>61</v>
      </c>
      <c r="G7" t="s">
        <v>75</v>
      </c>
    </row>
    <row r="8" spans="1:7" ht="12.75">
      <c r="A8" t="s">
        <v>41</v>
      </c>
      <c r="B8">
        <f>яды!E18</f>
        <v>0.8777777777777778</v>
      </c>
      <c r="C8">
        <f>лес!E18</f>
        <v>13.358395989974936</v>
      </c>
      <c r="D8">
        <f>станки!E18</f>
        <v>5.02880658436214</v>
      </c>
      <c r="E8">
        <f>капуста!E18</f>
        <v>1.4960317460317458</v>
      </c>
      <c r="F8">
        <f>'BD-DC'!A11</f>
        <v>5.733212887684432</v>
      </c>
      <c r="G8">
        <f>'BD-DC'!A14</f>
        <v>9.718898385565051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92"/>
  <sheetViews>
    <sheetView workbookViewId="0" topLeftCell="A54">
      <selection activeCell="J4" sqref="J4:J9"/>
    </sheetView>
  </sheetViews>
  <sheetFormatPr defaultColWidth="9.00390625" defaultRowHeight="12.75"/>
  <cols>
    <col min="1" max="1" width="26.125" style="0" customWidth="1"/>
    <col min="2" max="2" width="23.875" style="0" customWidth="1"/>
    <col min="3" max="3" width="19.125" style="0" customWidth="1"/>
    <col min="5" max="5" width="24.875" style="0" customWidth="1"/>
    <col min="7" max="7" width="10.25390625" style="0" customWidth="1"/>
    <col min="10" max="10" width="21.375" style="0" customWidth="1"/>
    <col min="11" max="11" width="27.875" style="0" customWidth="1"/>
    <col min="12" max="12" width="12.875" style="0" customWidth="1"/>
  </cols>
  <sheetData>
    <row r="1" ht="12.75">
      <c r="J1" t="s">
        <v>227</v>
      </c>
    </row>
    <row r="2" spans="1:12" ht="12.75">
      <c r="A2" t="s">
        <v>62</v>
      </c>
      <c r="B2" s="4" t="s">
        <v>18</v>
      </c>
      <c r="C2">
        <f>36.5*0.6</f>
        <v>21.9</v>
      </c>
      <c r="D2" t="s">
        <v>63</v>
      </c>
      <c r="E2" t="s">
        <v>64</v>
      </c>
      <c r="F2">
        <v>7806</v>
      </c>
      <c r="G2">
        <v>30</v>
      </c>
      <c r="L2" t="s">
        <v>220</v>
      </c>
    </row>
    <row r="3" spans="1:15" ht="12.75">
      <c r="A3" t="s">
        <v>65</v>
      </c>
      <c r="B3" s="4" t="s">
        <v>20</v>
      </c>
      <c r="C3">
        <v>13.3</v>
      </c>
      <c r="D3" t="s">
        <v>91</v>
      </c>
      <c r="E3" t="s">
        <v>66</v>
      </c>
      <c r="F3" t="s">
        <v>92</v>
      </c>
      <c r="G3">
        <v>3.2</v>
      </c>
      <c r="J3" t="s">
        <v>221</v>
      </c>
      <c r="K3" t="s">
        <v>222</v>
      </c>
      <c r="L3" t="s">
        <v>223</v>
      </c>
      <c r="M3" t="s">
        <v>224</v>
      </c>
      <c r="N3" t="s">
        <v>225</v>
      </c>
      <c r="O3" t="s">
        <v>226</v>
      </c>
    </row>
    <row r="4" spans="1:15" ht="12.75">
      <c r="A4" t="s">
        <v>68</v>
      </c>
      <c r="B4" s="4" t="s">
        <v>28</v>
      </c>
      <c r="C4">
        <v>12</v>
      </c>
      <c r="D4" t="s">
        <v>93</v>
      </c>
      <c r="E4" t="s">
        <v>64</v>
      </c>
      <c r="F4" t="s">
        <v>95</v>
      </c>
      <c r="G4">
        <v>5</v>
      </c>
      <c r="J4" t="s">
        <v>62</v>
      </c>
      <c r="K4" t="str">
        <f>яды!B8</f>
        <v>МАЗ-54326+ЧМЗАП-9911-040</v>
      </c>
      <c r="L4">
        <f>яды!D8</f>
        <v>0.4</v>
      </c>
      <c r="M4">
        <f>2*D21/3600</f>
        <v>0.140625</v>
      </c>
      <c r="N4">
        <f aca="true" t="shared" si="0" ref="N4:N9">M4+10/60</f>
        <v>0.30729166666666663</v>
      </c>
      <c r="O4" s="19">
        <f aca="true" t="shared" si="1" ref="O4:O9">(L4-N4)*100</f>
        <v>9.27083333333334</v>
      </c>
    </row>
    <row r="5" spans="1:15" ht="12.75">
      <c r="A5" t="s">
        <v>69</v>
      </c>
      <c r="B5" s="4" t="s">
        <v>32</v>
      </c>
      <c r="C5">
        <v>11.2</v>
      </c>
      <c r="D5" t="s">
        <v>96</v>
      </c>
      <c r="E5" t="s">
        <v>70</v>
      </c>
      <c r="F5" t="s">
        <v>97</v>
      </c>
      <c r="G5">
        <v>1.25</v>
      </c>
      <c r="J5" t="s">
        <v>65</v>
      </c>
      <c r="K5" t="str">
        <f>лес!B6</f>
        <v>КрАЗ-250</v>
      </c>
      <c r="L5">
        <f>лес!D6</f>
        <v>1.2666666666666666</v>
      </c>
      <c r="M5">
        <f>2*B37/3600</f>
        <v>0.2833333333333333</v>
      </c>
      <c r="N5">
        <f t="shared" si="0"/>
        <v>0.44999999999999996</v>
      </c>
      <c r="O5" s="19">
        <f t="shared" si="1"/>
        <v>81.66666666666667</v>
      </c>
    </row>
    <row r="6" spans="1:15" ht="12.75">
      <c r="A6" t="s">
        <v>71</v>
      </c>
      <c r="B6" s="4" t="s">
        <v>25</v>
      </c>
      <c r="C6">
        <v>5.85</v>
      </c>
      <c r="D6" s="5" t="s">
        <v>73</v>
      </c>
      <c r="E6" t="s">
        <v>74</v>
      </c>
      <c r="F6" t="s">
        <v>101</v>
      </c>
      <c r="G6">
        <v>1.6</v>
      </c>
      <c r="H6" t="s">
        <v>99</v>
      </c>
      <c r="J6" t="s">
        <v>68</v>
      </c>
      <c r="K6" t="str">
        <f>станки!B9</f>
        <v>МАЗ-54331 + МАЗ-9380</v>
      </c>
      <c r="L6">
        <f>станки!D9</f>
        <v>0.8666666666666667</v>
      </c>
      <c r="M6">
        <f>2*B53/3600</f>
        <v>0.18638888888888888</v>
      </c>
      <c r="N6">
        <f t="shared" si="0"/>
        <v>0.35305555555555557</v>
      </c>
      <c r="O6" s="19">
        <f t="shared" si="1"/>
        <v>51.361111111111114</v>
      </c>
    </row>
    <row r="7" spans="1:15" ht="12.75">
      <c r="A7" t="s">
        <v>72</v>
      </c>
      <c r="B7" s="4" t="s">
        <v>25</v>
      </c>
      <c r="C7">
        <v>13</v>
      </c>
      <c r="D7" s="5" t="s">
        <v>73</v>
      </c>
      <c r="E7" t="s">
        <v>74</v>
      </c>
      <c r="F7" t="s">
        <v>101</v>
      </c>
      <c r="G7">
        <v>0.65</v>
      </c>
      <c r="H7" t="s">
        <v>99</v>
      </c>
      <c r="J7" t="s">
        <v>69</v>
      </c>
      <c r="K7" t="str">
        <f>капуста!B9</f>
        <v>МАЗ-54331+ЧМЗАП-99063-051</v>
      </c>
      <c r="L7">
        <f>капуста!D9</f>
        <v>0.8666666666666667</v>
      </c>
      <c r="M7">
        <f>2*B69/3600</f>
        <v>0.61875</v>
      </c>
      <c r="N7">
        <f t="shared" si="0"/>
        <v>0.7854166666666667</v>
      </c>
      <c r="O7" s="19">
        <f t="shared" si="1"/>
        <v>8.125000000000004</v>
      </c>
    </row>
    <row r="8" spans="10:15" ht="12.75">
      <c r="J8" t="s">
        <v>71</v>
      </c>
      <c r="K8" t="str">
        <f>щебень!B6</f>
        <v>КАМАЗ-55111</v>
      </c>
      <c r="L8">
        <f>щебень!D6</f>
        <v>0.43333333333333335</v>
      </c>
      <c r="M8">
        <f>щебень!D6/2+'погр-разгр'!B79/3600</f>
        <v>0.30130208333333336</v>
      </c>
      <c r="N8">
        <f t="shared" si="0"/>
        <v>0.46796875000000004</v>
      </c>
      <c r="O8" s="19">
        <f t="shared" si="1"/>
        <v>-3.4635416666666696</v>
      </c>
    </row>
    <row r="9" spans="3:15" ht="12.75">
      <c r="C9" t="s">
        <v>175</v>
      </c>
      <c r="D9" t="s">
        <v>176</v>
      </c>
      <c r="J9" t="s">
        <v>72</v>
      </c>
      <c r="K9" t="str">
        <f>щебень!B6</f>
        <v>КАМАЗ-55111</v>
      </c>
      <c r="L9">
        <f>щебень!D6</f>
        <v>0.43333333333333335</v>
      </c>
      <c r="M9">
        <f>щебень!D6/2+'погр-разгр'!B89/3600</f>
        <v>0.24801311728395062</v>
      </c>
      <c r="N9">
        <f t="shared" si="0"/>
        <v>0.4146797839506173</v>
      </c>
      <c r="O9" s="19">
        <f t="shared" si="1"/>
        <v>1.8653549382716073</v>
      </c>
    </row>
    <row r="10" spans="1:4" ht="12.75">
      <c r="A10" t="s">
        <v>140</v>
      </c>
      <c r="C10" t="s">
        <v>173</v>
      </c>
      <c r="D10">
        <v>12.5</v>
      </c>
    </row>
    <row r="11" spans="1:4" ht="12.75">
      <c r="A11" t="s">
        <v>88</v>
      </c>
      <c r="C11" t="s">
        <v>174</v>
      </c>
      <c r="D11">
        <v>0.8</v>
      </c>
    </row>
    <row r="12" spans="1:4" ht="12.75">
      <c r="A12" t="s">
        <v>85</v>
      </c>
      <c r="B12">
        <v>4</v>
      </c>
      <c r="D12">
        <v>9</v>
      </c>
    </row>
    <row r="13" spans="1:4" ht="12.75">
      <c r="A13" t="s">
        <v>86</v>
      </c>
      <c r="B13">
        <v>0.2</v>
      </c>
      <c r="D13">
        <v>0.2</v>
      </c>
    </row>
    <row r="14" spans="1:4" ht="12.75">
      <c r="A14" t="s">
        <v>76</v>
      </c>
      <c r="B14">
        <v>15</v>
      </c>
      <c r="D14">
        <v>50</v>
      </c>
    </row>
    <row r="15" spans="1:4" ht="12.75">
      <c r="A15" t="s">
        <v>87</v>
      </c>
      <c r="B15">
        <v>5</v>
      </c>
      <c r="D15">
        <v>1</v>
      </c>
    </row>
    <row r="16" spans="1:4" ht="12.75">
      <c r="A16" t="s">
        <v>78</v>
      </c>
      <c r="B16">
        <v>1</v>
      </c>
      <c r="D16">
        <v>0.9</v>
      </c>
    </row>
    <row r="17" spans="1:4" ht="12.75">
      <c r="A17" t="s">
        <v>79</v>
      </c>
      <c r="B17">
        <v>50</v>
      </c>
      <c r="D17">
        <v>60</v>
      </c>
    </row>
    <row r="18" spans="1:4" ht="12.75">
      <c r="A18" t="s">
        <v>81</v>
      </c>
      <c r="B18">
        <v>30</v>
      </c>
      <c r="D18">
        <v>30</v>
      </c>
    </row>
    <row r="19" spans="1:4" ht="12.75">
      <c r="A19" t="s">
        <v>90</v>
      </c>
      <c r="B19">
        <v>0.75</v>
      </c>
      <c r="D19">
        <v>0.75</v>
      </c>
    </row>
    <row r="20" spans="1:4" ht="12.75">
      <c r="A20" t="s">
        <v>89</v>
      </c>
      <c r="B20">
        <f>B16*(B17+2*B12/B13+2*B14/B15)</f>
        <v>96</v>
      </c>
      <c r="D20">
        <f>D16*(D17+2*D10/D11+2*D14/D15+2*D12/D13)</f>
        <v>253.125</v>
      </c>
    </row>
    <row r="21" spans="1:4" ht="12.75">
      <c r="A21" t="s">
        <v>77</v>
      </c>
      <c r="B21">
        <f>1*B20</f>
        <v>96</v>
      </c>
      <c r="D21">
        <f>1*D20</f>
        <v>253.125</v>
      </c>
    </row>
    <row r="22" spans="1:4" ht="12.75">
      <c r="A22" t="s">
        <v>80</v>
      </c>
      <c r="B22">
        <f>3600*B18/B21</f>
        <v>1125</v>
      </c>
      <c r="D22">
        <f>3600*D18/D20</f>
        <v>426.6666666666667</v>
      </c>
    </row>
    <row r="23" spans="1:4" ht="12.75">
      <c r="A23" t="s">
        <v>82</v>
      </c>
      <c r="B23">
        <f>B19*B22</f>
        <v>843.75</v>
      </c>
      <c r="D23">
        <f>D19*D22</f>
        <v>320</v>
      </c>
    </row>
    <row r="24" spans="1:4" ht="12.75">
      <c r="A24" t="s">
        <v>83</v>
      </c>
      <c r="B24">
        <f>яды!C1/яды!B18/яды!C18/'погр-разгр'!B23</f>
        <v>0.014222222222222223</v>
      </c>
      <c r="D24">
        <f>яды!C1/яды!B18/яды!C18/'погр-разгр'!D23</f>
        <v>0.0375</v>
      </c>
    </row>
    <row r="26" ht="12.75">
      <c r="A26" t="s">
        <v>141</v>
      </c>
    </row>
    <row r="27" ht="12.75">
      <c r="A27" t="s">
        <v>67</v>
      </c>
    </row>
    <row r="28" spans="1:2" ht="12.75">
      <c r="A28" t="s">
        <v>85</v>
      </c>
      <c r="B28">
        <v>4</v>
      </c>
    </row>
    <row r="29" spans="1:2" ht="12.75">
      <c r="A29" t="s">
        <v>86</v>
      </c>
      <c r="B29">
        <v>0.2</v>
      </c>
    </row>
    <row r="30" spans="1:2" ht="12.75">
      <c r="A30" t="s">
        <v>76</v>
      </c>
      <c r="B30">
        <v>30</v>
      </c>
    </row>
    <row r="31" spans="1:2" ht="12.75">
      <c r="A31" t="s">
        <v>87</v>
      </c>
      <c r="B31">
        <v>5</v>
      </c>
    </row>
    <row r="32" spans="1:2" ht="12.75">
      <c r="A32" t="s">
        <v>78</v>
      </c>
      <c r="B32">
        <v>1</v>
      </c>
    </row>
    <row r="33" spans="1:2" ht="12.75">
      <c r="A33" t="s">
        <v>79</v>
      </c>
      <c r="B33">
        <v>50</v>
      </c>
    </row>
    <row r="34" spans="1:2" ht="12.75">
      <c r="A34" t="s">
        <v>81</v>
      </c>
      <c r="B34">
        <v>2.26</v>
      </c>
    </row>
    <row r="35" spans="1:2" ht="12.75">
      <c r="A35" t="s">
        <v>90</v>
      </c>
      <c r="B35">
        <v>0.75</v>
      </c>
    </row>
    <row r="36" spans="1:2" ht="12.75">
      <c r="A36" t="s">
        <v>89</v>
      </c>
      <c r="B36">
        <f>B32*(B33+2*B28/B29+2*B30/B31)</f>
        <v>102</v>
      </c>
    </row>
    <row r="37" spans="1:2" ht="12.75">
      <c r="A37" t="s">
        <v>77</v>
      </c>
      <c r="B37">
        <f>B36*5</f>
        <v>510</v>
      </c>
    </row>
    <row r="38" spans="1:2" ht="12.75">
      <c r="A38" t="s">
        <v>80</v>
      </c>
      <c r="B38">
        <f>3600*B34/B37</f>
        <v>15.952941176470587</v>
      </c>
    </row>
    <row r="39" spans="1:2" ht="12.75">
      <c r="A39" t="s">
        <v>82</v>
      </c>
      <c r="B39">
        <f>B35*B38</f>
        <v>11.96470588235294</v>
      </c>
    </row>
    <row r="40" spans="1:2" ht="12.75">
      <c r="A40" t="s">
        <v>83</v>
      </c>
      <c r="B40">
        <f>лес!C1/лес!B18/лес!C18/'погр-разгр'!B39</f>
        <v>1.9845278664529487</v>
      </c>
    </row>
    <row r="42" ht="12.75">
      <c r="A42" t="s">
        <v>142</v>
      </c>
    </row>
    <row r="43" ht="12.75">
      <c r="A43" t="s">
        <v>94</v>
      </c>
    </row>
    <row r="44" spans="1:2" ht="12.75">
      <c r="A44" t="s">
        <v>85</v>
      </c>
      <c r="B44">
        <v>4.25</v>
      </c>
    </row>
    <row r="45" spans="1:2" ht="12.75">
      <c r="A45" t="s">
        <v>86</v>
      </c>
      <c r="B45">
        <f>16/60</f>
        <v>0.26666666666666666</v>
      </c>
    </row>
    <row r="46" spans="1:2" ht="12.75">
      <c r="A46" t="s">
        <v>76</v>
      </c>
      <c r="B46">
        <v>10</v>
      </c>
    </row>
    <row r="47" spans="1:2" ht="12.75">
      <c r="A47" t="s">
        <v>87</v>
      </c>
      <c r="B47">
        <f>36/3.6</f>
        <v>10</v>
      </c>
    </row>
    <row r="48" spans="1:2" ht="12.75">
      <c r="A48" t="s">
        <v>78</v>
      </c>
      <c r="B48">
        <v>1</v>
      </c>
    </row>
    <row r="49" spans="1:2" ht="12.75">
      <c r="A49" t="s">
        <v>79</v>
      </c>
      <c r="B49">
        <v>50</v>
      </c>
    </row>
    <row r="50" spans="1:2" ht="12.75">
      <c r="A50" t="s">
        <v>81</v>
      </c>
      <c r="B50">
        <v>3</v>
      </c>
    </row>
    <row r="51" spans="1:2" ht="12.75">
      <c r="A51" t="s">
        <v>90</v>
      </c>
      <c r="B51">
        <v>0.75</v>
      </c>
    </row>
    <row r="52" spans="1:2" ht="12.75">
      <c r="A52" t="s">
        <v>89</v>
      </c>
      <c r="B52">
        <f>B48*(B49+2*B44/B45+2*B46/B47)</f>
        <v>83.875</v>
      </c>
    </row>
    <row r="53" spans="1:2" ht="12.75">
      <c r="A53" t="s">
        <v>77</v>
      </c>
      <c r="B53">
        <f>B52*4</f>
        <v>335.5</v>
      </c>
    </row>
    <row r="54" spans="1:2" ht="12.75">
      <c r="A54" t="s">
        <v>80</v>
      </c>
      <c r="B54">
        <f>3600*B50/B53</f>
        <v>32.19076005961252</v>
      </c>
    </row>
    <row r="55" spans="1:2" ht="12.75">
      <c r="A55" t="s">
        <v>82</v>
      </c>
      <c r="B55">
        <f>B51*B54</f>
        <v>24.14307004470939</v>
      </c>
    </row>
    <row r="56" spans="1:2" ht="12.75">
      <c r="A56" t="s">
        <v>83</v>
      </c>
      <c r="B56">
        <f>станки!C1/станки!B18/станки!C18/'погр-разгр'!B55</f>
        <v>1.65679012345679</v>
      </c>
    </row>
    <row r="58" ht="12.75">
      <c r="A58" t="s">
        <v>143</v>
      </c>
    </row>
    <row r="59" ht="12.75">
      <c r="A59" t="s">
        <v>97</v>
      </c>
    </row>
    <row r="60" spans="1:2" ht="12.75">
      <c r="A60" t="s">
        <v>85</v>
      </c>
      <c r="B60">
        <v>2.7</v>
      </c>
    </row>
    <row r="61" spans="1:2" ht="12.75">
      <c r="A61" t="s">
        <v>86</v>
      </c>
      <c r="B61">
        <v>0.16</v>
      </c>
    </row>
    <row r="62" spans="1:2" ht="12.75">
      <c r="A62" t="s">
        <v>76</v>
      </c>
      <c r="B62">
        <v>50</v>
      </c>
    </row>
    <row r="63" spans="1:2" ht="12.75">
      <c r="A63" t="s">
        <v>87</v>
      </c>
      <c r="B63">
        <f>9/3.6</f>
        <v>2.5</v>
      </c>
    </row>
    <row r="64" spans="1:2" ht="12.75">
      <c r="A64" t="s">
        <v>78</v>
      </c>
      <c r="B64">
        <v>1</v>
      </c>
    </row>
    <row r="65" spans="1:2" ht="12.75">
      <c r="A65" t="s">
        <v>79</v>
      </c>
      <c r="B65">
        <v>50</v>
      </c>
    </row>
    <row r="66" spans="1:2" ht="12.75">
      <c r="A66" t="s">
        <v>81</v>
      </c>
      <c r="B66">
        <v>1.24</v>
      </c>
    </row>
    <row r="67" spans="1:2" ht="12.75">
      <c r="A67" t="s">
        <v>90</v>
      </c>
      <c r="B67">
        <v>0.75</v>
      </c>
    </row>
    <row r="68" spans="1:2" ht="12.75">
      <c r="A68" t="s">
        <v>89</v>
      </c>
      <c r="B68">
        <f>B64*(B65+2*B60/B61+2*B62/B63)</f>
        <v>123.75</v>
      </c>
    </row>
    <row r="69" spans="1:2" ht="12.75">
      <c r="A69" t="s">
        <v>77</v>
      </c>
      <c r="B69">
        <f>B68*9</f>
        <v>1113.75</v>
      </c>
    </row>
    <row r="70" spans="1:2" ht="12.75">
      <c r="A70" t="s">
        <v>80</v>
      </c>
      <c r="B70">
        <f>3600*B66/B69</f>
        <v>4.008080808080808</v>
      </c>
    </row>
    <row r="71" spans="1:2" ht="12.75">
      <c r="A71" t="s">
        <v>82</v>
      </c>
      <c r="B71">
        <f>B67*B70</f>
        <v>3.006060606060606</v>
      </c>
    </row>
    <row r="72" spans="1:2" ht="12.75">
      <c r="A72" t="s">
        <v>83</v>
      </c>
      <c r="B72">
        <f>капуста!C1/капуста!B18/капуста!C18/'погр-разгр'!B71</f>
        <v>1.995967741935484</v>
      </c>
    </row>
    <row r="74" ht="12.75">
      <c r="A74" t="s">
        <v>144</v>
      </c>
    </row>
    <row r="75" ht="12.75">
      <c r="A75" t="s">
        <v>101</v>
      </c>
    </row>
    <row r="76" spans="1:2" ht="12.75">
      <c r="A76" t="s">
        <v>100</v>
      </c>
      <c r="B76">
        <v>0.95</v>
      </c>
    </row>
    <row r="77" spans="1:2" ht="12.75">
      <c r="A77" t="s">
        <v>84</v>
      </c>
      <c r="B77">
        <v>0.3</v>
      </c>
    </row>
    <row r="78" spans="1:2" ht="12.75">
      <c r="A78" t="s">
        <v>89</v>
      </c>
      <c r="B78">
        <v>25</v>
      </c>
    </row>
    <row r="79" spans="1:2" ht="12.75">
      <c r="A79" t="s">
        <v>98</v>
      </c>
      <c r="B79">
        <f>B78*C6/B77/$G$6</f>
        <v>304.6875</v>
      </c>
    </row>
    <row r="80" spans="1:2" ht="12.75">
      <c r="A80" t="s">
        <v>80</v>
      </c>
      <c r="B80">
        <f>3600*$G$6*B76*B77/B79</f>
        <v>5.387815384615385</v>
      </c>
    </row>
    <row r="81" spans="1:2" ht="12.75">
      <c r="A81" t="s">
        <v>82</v>
      </c>
      <c r="B81">
        <f>0.75*B80</f>
        <v>4.040861538461538</v>
      </c>
    </row>
    <row r="82" spans="1:2" ht="12.75">
      <c r="A82" t="s">
        <v>83</v>
      </c>
      <c r="B82">
        <f>опилки!C1/опилки!B18/опилки!C18/'погр-разгр'!B81</f>
        <v>1.8080144552146475</v>
      </c>
    </row>
    <row r="84" ht="12.75">
      <c r="A84" t="s">
        <v>145</v>
      </c>
    </row>
    <row r="85" ht="12.75">
      <c r="A85" t="s">
        <v>101</v>
      </c>
    </row>
    <row r="86" spans="1:2" ht="12.75">
      <c r="A86" t="s">
        <v>100</v>
      </c>
      <c r="B86">
        <v>0.6</v>
      </c>
    </row>
    <row r="87" spans="1:2" ht="12.75">
      <c r="A87" t="s">
        <v>84</v>
      </c>
      <c r="B87">
        <v>1.8</v>
      </c>
    </row>
    <row r="88" spans="1:2" ht="12.75">
      <c r="A88" t="s">
        <v>89</v>
      </c>
      <c r="B88">
        <v>25</v>
      </c>
    </row>
    <row r="89" spans="1:2" ht="12.75">
      <c r="A89" t="s">
        <v>98</v>
      </c>
      <c r="B89">
        <f>B88*C7/B87/$G$6</f>
        <v>112.84722222222221</v>
      </c>
    </row>
    <row r="90" spans="1:2" ht="12.75">
      <c r="A90" t="s">
        <v>80</v>
      </c>
      <c r="B90">
        <f>3600*$G$6*B86*B87/B89</f>
        <v>55.12585846153846</v>
      </c>
    </row>
    <row r="91" spans="1:2" ht="12.75">
      <c r="A91" t="s">
        <v>82</v>
      </c>
      <c r="B91">
        <f>0.75*B90</f>
        <v>41.34439384615385</v>
      </c>
    </row>
    <row r="92" spans="1:2" ht="12.75">
      <c r="A92" t="s">
        <v>83</v>
      </c>
      <c r="B92">
        <f>щебень!C1/щебень!B18/щебень!C18/'погр-разгр'!B91</f>
        <v>1.2369646221375932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ivan</cp:lastModifiedBy>
  <dcterms:created xsi:type="dcterms:W3CDTF">2000-04-13T22:10:32Z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