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Iвх">'Лист1'!$C$2</definedName>
    <definedName name="Iд1max">'Лист1'!$C$15</definedName>
    <definedName name="Iд1min">'Лист1'!$C$14</definedName>
    <definedName name="Iд2max">'Лист1'!$G$15</definedName>
    <definedName name="Iд2min">'Лист1'!$G$14</definedName>
    <definedName name="Iд3max">'Лист1'!$K$15</definedName>
    <definedName name="Iд3min">'Лист1'!$K$14</definedName>
    <definedName name="R_1.1p">'Лист1'!$C$20</definedName>
    <definedName name="R_1.2p">'Лист1'!$G$20</definedName>
    <definedName name="R_1.3p">'Лист1'!$K$20</definedName>
    <definedName name="R_2.1p">'Лист1'!$C$21</definedName>
    <definedName name="R_2.2p">'Лист1'!$G$21</definedName>
    <definedName name="R_2.3p">'Лист1'!$K$21</definedName>
    <definedName name="R_3.1p">'Лист1'!$C$22</definedName>
    <definedName name="R_3.3p">'Лист1'!$K$22</definedName>
    <definedName name="R_5.1p">'Лист1'!$C$24</definedName>
    <definedName name="R_5.2p">'Лист1'!$G$24</definedName>
    <definedName name="R_5.3p">'Лист1'!$K$24</definedName>
    <definedName name="R_6.1p">'Лист1'!$C$25</definedName>
    <definedName name="R_6.2p">'Лист1'!$G$25</definedName>
    <definedName name="R_6.3p">'Лист1'!$K$25</definedName>
    <definedName name="R_7.1p">'Лист1'!$C$26</definedName>
    <definedName name="Uд1max">'Лист1'!$C$6</definedName>
    <definedName name="Uд1min">'Лист1'!$C$5</definedName>
    <definedName name="Uд2max">'Лист1'!$C$8</definedName>
    <definedName name="Uд2min">'Лист1'!$C$7</definedName>
    <definedName name="Uд3max">'Лист1'!$C$10</definedName>
    <definedName name="Uд3min">'Лист1'!$C$9</definedName>
    <definedName name="Uоп">'Лист1'!$C$4</definedName>
    <definedName name="Uсм">'Лист1'!$C$3</definedName>
  </definedNames>
  <calcPr fullCalcOnLoad="1"/>
</workbook>
</file>

<file path=xl/sharedStrings.xml><?xml version="1.0" encoding="utf-8"?>
<sst xmlns="http://schemas.openxmlformats.org/spreadsheetml/2006/main" count="345" uniqueCount="101">
  <si>
    <t>КР597СА3</t>
  </si>
  <si>
    <t>Ряд Е24 (5%).</t>
  </si>
  <si>
    <t>Iвх, А</t>
  </si>
  <si>
    <t>=</t>
  </si>
  <si>
    <t>Uсм, В</t>
  </si>
  <si>
    <t>Uоп, В</t>
  </si>
  <si>
    <t>Uд1min,В</t>
  </si>
  <si>
    <t>Uд1max, В</t>
  </si>
  <si>
    <t>Uд2min,В</t>
  </si>
  <si>
    <t>Uд2max, В</t>
  </si>
  <si>
    <t>Uд3min, В</t>
  </si>
  <si>
    <t>Uд3max, В</t>
  </si>
  <si>
    <t>Uср, В</t>
  </si>
  <si>
    <t>Д1</t>
  </si>
  <si>
    <t>Д2</t>
  </si>
  <si>
    <t>Д3</t>
  </si>
  <si>
    <t>Iд1min</t>
  </si>
  <si>
    <t>Iд2min</t>
  </si>
  <si>
    <t>Iд3min</t>
  </si>
  <si>
    <t>Iд1max</t>
  </si>
  <si>
    <t>Iд2max</t>
  </si>
  <si>
    <t>Iд3max</t>
  </si>
  <si>
    <t>&gt;</t>
  </si>
  <si>
    <t>Iвх*20</t>
  </si>
  <si>
    <t>R1p</t>
  </si>
  <si>
    <t>R2p</t>
  </si>
  <si>
    <t>R3p</t>
  </si>
  <si>
    <t>R5p</t>
  </si>
  <si>
    <t>R6p</t>
  </si>
  <si>
    <t>R4p</t>
  </si>
  <si>
    <t>Iн_min_р</t>
  </si>
  <si>
    <t>А</t>
  </si>
  <si>
    <t>Iн_max_р</t>
  </si>
  <si>
    <t>Iн_р от Uоп</t>
  </si>
  <si>
    <t>Выбор резисторов по ГОСТ</t>
  </si>
  <si>
    <t>Д1 (по схеме)</t>
  </si>
  <si>
    <t>Д3 (по схеме)</t>
  </si>
  <si>
    <t>Д2 (по схеме)</t>
  </si>
  <si>
    <t>R1</t>
  </si>
  <si>
    <t>R13</t>
  </si>
  <si>
    <t>R7</t>
  </si>
  <si>
    <t>R2</t>
  </si>
  <si>
    <t>R14</t>
  </si>
  <si>
    <t>R8</t>
  </si>
  <si>
    <t>R3</t>
  </si>
  <si>
    <t>R15</t>
  </si>
  <si>
    <t>R9</t>
  </si>
  <si>
    <t>R4</t>
  </si>
  <si>
    <t>R16</t>
  </si>
  <si>
    <t>R10</t>
  </si>
  <si>
    <t>R5</t>
  </si>
  <si>
    <t>R17</t>
  </si>
  <si>
    <t>R11</t>
  </si>
  <si>
    <t>R6</t>
  </si>
  <si>
    <t>R18</t>
  </si>
  <si>
    <t>R12</t>
  </si>
  <si>
    <t>R19</t>
  </si>
  <si>
    <t>R21</t>
  </si>
  <si>
    <t>R23</t>
  </si>
  <si>
    <t>R20</t>
  </si>
  <si>
    <t>R22</t>
  </si>
  <si>
    <t>R24</t>
  </si>
  <si>
    <t>R1,1</t>
  </si>
  <si>
    <t>R1,2</t>
  </si>
  <si>
    <t>R1,3</t>
  </si>
  <si>
    <t>R2,1</t>
  </si>
  <si>
    <t>Rн</t>
  </si>
  <si>
    <t>Iн_min</t>
  </si>
  <si>
    <t>Iн_max</t>
  </si>
  <si>
    <t>Iн от Uоп</t>
  </si>
  <si>
    <t>Расчёт мощности резисторов</t>
  </si>
  <si>
    <t>Все резисторы выбираем МЛТ мощностью Р=0,125 Вт</t>
  </si>
  <si>
    <t>RC-цепь сброса (R от 1 до 10 кОм, время t не менее 0,001 сек.).</t>
  </si>
  <si>
    <t>t=R*C</t>
  </si>
  <si>
    <t>t</t>
  </si>
  <si>
    <t>сек</t>
  </si>
  <si>
    <t>R</t>
  </si>
  <si>
    <t>Ом</t>
  </si>
  <si>
    <t>C</t>
  </si>
  <si>
    <t>Фарад</t>
  </si>
  <si>
    <t>RC-цепь формирования длительности выходного импульса</t>
  </si>
  <si>
    <t>t=0,5*R*C</t>
  </si>
  <si>
    <t>t1</t>
  </si>
  <si>
    <t>t2</t>
  </si>
  <si>
    <t>Расчёт токоограничивающего резистора к стабилитрону</t>
  </si>
  <si>
    <t>Не работает?</t>
  </si>
  <si>
    <t>Uстmax</t>
  </si>
  <si>
    <t>Вольт</t>
  </si>
  <si>
    <t>Rб</t>
  </si>
  <si>
    <t>Uстmin</t>
  </si>
  <si>
    <t>Iстmax</t>
  </si>
  <si>
    <t>Ампер</t>
  </si>
  <si>
    <t>Iстmin</t>
  </si>
  <si>
    <t>Uн</t>
  </si>
  <si>
    <t>Iном</t>
  </si>
  <si>
    <t>Uвхmax</t>
  </si>
  <si>
    <t>Uвхmin</t>
  </si>
  <si>
    <t>(По ГОСТ)</t>
  </si>
  <si>
    <t>Применить схему балансировки</t>
  </si>
  <si>
    <t>R19p</t>
  </si>
  <si>
    <t>R20p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</si>
</sst>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E+00"/>
    <numFmt numFmtId="173" formatCode="0.0"/>
    <numFmt numFmtId="174" formatCode="0.0E+00"/>
    <numFmt numFmtId="175" formatCode="0.000"/>
    <numFmt numFmtId="176" formatCode="0.000000"/>
    <numFmt numFmtId="177" formatCode="0.00000"/>
    <numFmt numFmtId="178" formatCode="0.0000"/>
  </numFmts>
  <fonts count="7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0" fontId="1" fillId="4" borderId="8" xfId="0" applyFont="1" applyFill="1" applyBorder="1" applyAlignment="1">
      <alignment horizontal="left"/>
    </xf>
    <xf numFmtId="172" fontId="0" fillId="0" borderId="0" xfId="0" applyNumberFormat="1" applyAlignment="1">
      <alignment horizontal="left"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4" borderId="11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left"/>
    </xf>
    <xf numFmtId="173" fontId="0" fillId="0" borderId="6" xfId="0" applyNumberFormat="1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left"/>
    </xf>
    <xf numFmtId="0" fontId="0" fillId="0" borderId="7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72" fontId="0" fillId="3" borderId="12" xfId="0" applyNumberFormat="1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172" fontId="0" fillId="3" borderId="14" xfId="0" applyNumberForma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7" xfId="0" applyNumberFormat="1" applyFill="1" applyBorder="1" applyAlignment="1">
      <alignment horizontal="right"/>
    </xf>
    <xf numFmtId="174" fontId="0" fillId="0" borderId="16" xfId="0" applyNumberFormat="1" applyFill="1" applyBorder="1" applyAlignment="1">
      <alignment horizontal="left"/>
    </xf>
    <xf numFmtId="172" fontId="0" fillId="3" borderId="4" xfId="0" applyNumberFormat="1" applyFill="1" applyBorder="1" applyAlignment="1">
      <alignment horizontal="right"/>
    </xf>
    <xf numFmtId="174" fontId="0" fillId="3" borderId="17" xfId="0" applyNumberFormat="1" applyFill="1" applyBorder="1" applyAlignment="1">
      <alignment horizontal="left"/>
    </xf>
    <xf numFmtId="172" fontId="0" fillId="3" borderId="13" xfId="0" applyNumberFormat="1" applyFill="1" applyBorder="1" applyAlignment="1">
      <alignment horizontal="right"/>
    </xf>
    <xf numFmtId="174" fontId="0" fillId="3" borderId="14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2" xfId="0" applyBorder="1" applyAlignment="1">
      <alignment horizontal="right"/>
    </xf>
    <xf numFmtId="0" fontId="0" fillId="0" borderId="9" xfId="0" applyBorder="1" applyAlignment="1">
      <alignment/>
    </xf>
    <xf numFmtId="1" fontId="0" fillId="3" borderId="12" xfId="0" applyNumberFormat="1" applyFill="1" applyBorder="1" applyAlignment="1">
      <alignment horizontal="left"/>
    </xf>
    <xf numFmtId="0" fontId="0" fillId="0" borderId="4" xfId="0" applyBorder="1" applyAlignment="1">
      <alignment horizontal="right"/>
    </xf>
    <xf numFmtId="1" fontId="0" fillId="3" borderId="17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 horizontal="left"/>
    </xf>
    <xf numFmtId="173" fontId="0" fillId="0" borderId="18" xfId="0" applyNumberFormat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1" fontId="0" fillId="3" borderId="14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Fill="1" applyBorder="1" applyAlignment="1">
      <alignment horizontal="left"/>
    </xf>
    <xf numFmtId="175" fontId="0" fillId="0" borderId="0" xfId="0" applyNumberForma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1" fontId="0" fillId="4" borderId="17" xfId="0" applyNumberFormat="1" applyFont="1" applyFill="1" applyBorder="1" applyAlignment="1">
      <alignment horizontal="left"/>
    </xf>
    <xf numFmtId="1" fontId="0" fillId="4" borderId="14" xfId="0" applyNumberFormat="1" applyFon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76" fontId="0" fillId="3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1" fontId="0" fillId="3" borderId="17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1" fontId="0" fillId="3" borderId="14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6" borderId="0" xfId="0" applyFill="1" applyAlignment="1">
      <alignment/>
    </xf>
    <xf numFmtId="1" fontId="0" fillId="6" borderId="0" xfId="0" applyNumberFormat="1" applyFill="1" applyAlignment="1">
      <alignment horizontal="left"/>
    </xf>
    <xf numFmtId="0" fontId="0" fillId="6" borderId="0" xfId="0" applyFill="1" applyBorder="1" applyAlignment="1">
      <alignment/>
    </xf>
    <xf numFmtId="0" fontId="0" fillId="4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177" fontId="0" fillId="4" borderId="21" xfId="0" applyNumberFormat="1" applyFill="1" applyBorder="1" applyAlignment="1">
      <alignment horizontal="left"/>
    </xf>
    <xf numFmtId="0" fontId="0" fillId="4" borderId="22" xfId="0" applyFill="1" applyBorder="1" applyAlignment="1">
      <alignment horizontal="right"/>
    </xf>
    <xf numFmtId="1" fontId="0" fillId="4" borderId="23" xfId="0" applyNumberFormat="1" applyFill="1" applyBorder="1" applyAlignment="1">
      <alignment horizontal="left"/>
    </xf>
    <xf numFmtId="0" fontId="0" fillId="3" borderId="24" xfId="0" applyFill="1" applyBorder="1" applyAlignment="1">
      <alignment horizontal="right"/>
    </xf>
    <xf numFmtId="0" fontId="0" fillId="0" borderId="25" xfId="0" applyFill="1" applyBorder="1" applyAlignment="1">
      <alignment/>
    </xf>
    <xf numFmtId="11" fontId="0" fillId="3" borderId="26" xfId="0" applyNumberFormat="1" applyFill="1" applyBorder="1" applyAlignment="1">
      <alignment horizontal="left"/>
    </xf>
    <xf numFmtId="175" fontId="0" fillId="4" borderId="2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7" borderId="0" xfId="0" applyFill="1" applyAlignment="1">
      <alignment/>
    </xf>
    <xf numFmtId="0" fontId="0" fillId="3" borderId="0" xfId="0" applyFill="1" applyAlignment="1">
      <alignment horizontal="right"/>
    </xf>
    <xf numFmtId="173" fontId="0" fillId="4" borderId="0" xfId="0" applyNumberFormat="1" applyFill="1" applyAlignment="1">
      <alignment horizontal="left"/>
    </xf>
    <xf numFmtId="0" fontId="0" fillId="0" borderId="0" xfId="0" applyAlignment="1">
      <alignment horizontal="right"/>
    </xf>
    <xf numFmtId="175" fontId="0" fillId="4" borderId="0" xfId="0" applyNumberFormat="1" applyFill="1" applyAlignment="1">
      <alignment horizontal="left"/>
    </xf>
    <xf numFmtId="175" fontId="0" fillId="0" borderId="0" xfId="0" applyNumberFormat="1" applyAlignment="1">
      <alignment/>
    </xf>
    <xf numFmtId="1" fontId="0" fillId="4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2" fontId="0" fillId="4" borderId="0" xfId="0" applyNumberFormat="1" applyFill="1" applyAlignment="1">
      <alignment horizontal="left"/>
    </xf>
    <xf numFmtId="0" fontId="1" fillId="4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Alignment="1">
      <alignment horizontal="left"/>
    </xf>
    <xf numFmtId="1" fontId="0" fillId="3" borderId="0" xfId="0" applyNumberFormat="1" applyFill="1" applyAlignment="1">
      <alignment horizontal="left"/>
    </xf>
    <xf numFmtId="178" fontId="0" fillId="3" borderId="0" xfId="0" applyNumberFormat="1" applyFill="1" applyAlignment="1">
      <alignment horizontal="left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3" borderId="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67">
      <selection activeCell="H91" sqref="H91"/>
    </sheetView>
  </sheetViews>
  <sheetFormatPr defaultColWidth="9.00390625" defaultRowHeight="12.75"/>
  <cols>
    <col min="1" max="1" width="13.00390625" style="0" customWidth="1"/>
    <col min="2" max="2" width="2.375" style="0" customWidth="1"/>
    <col min="3" max="3" width="12.75390625" style="0" customWidth="1"/>
    <col min="4" max="4" width="6.375" style="0" customWidth="1"/>
    <col min="5" max="5" width="12.375" style="0" customWidth="1"/>
    <col min="6" max="6" width="3.00390625" style="0" customWidth="1"/>
    <col min="7" max="7" width="9.75390625" style="0" customWidth="1"/>
    <col min="8" max="8" width="10.00390625" style="0" customWidth="1"/>
    <col min="9" max="9" width="13.25390625" style="0" customWidth="1"/>
    <col min="10" max="10" width="2.375" style="0" customWidth="1"/>
    <col min="11" max="11" width="10.00390625" style="0" customWidth="1"/>
    <col min="13" max="13" width="12.375" style="0" customWidth="1"/>
    <col min="14" max="14" width="8.75390625" style="0" customWidth="1"/>
    <col min="15" max="15" width="11.00390625" style="0" bestFit="1" customWidth="1"/>
  </cols>
  <sheetData>
    <row r="1" spans="1:16" ht="16.5" thickBot="1">
      <c r="A1" s="1" t="s">
        <v>0</v>
      </c>
      <c r="B1" s="2"/>
      <c r="C1" s="2"/>
      <c r="M1" s="3" t="s">
        <v>1</v>
      </c>
      <c r="N1" s="4"/>
      <c r="O1" s="4"/>
      <c r="P1" s="4"/>
    </row>
    <row r="2" spans="1:13" ht="15.75">
      <c r="A2" s="94" t="s">
        <v>2</v>
      </c>
      <c r="B2" s="5" t="s">
        <v>3</v>
      </c>
      <c r="C2" s="6">
        <f>0.25*0.000001</f>
        <v>2.5E-07</v>
      </c>
      <c r="M2" s="7">
        <v>1</v>
      </c>
    </row>
    <row r="3" spans="1:13" ht="16.5" thickBot="1">
      <c r="A3" s="95" t="s">
        <v>4</v>
      </c>
      <c r="B3" s="8" t="s">
        <v>3</v>
      </c>
      <c r="C3" s="9">
        <v>0.005</v>
      </c>
      <c r="H3" s="10"/>
      <c r="M3" s="11">
        <v>1.1</v>
      </c>
    </row>
    <row r="4" spans="1:13" ht="16.5" thickBot="1">
      <c r="A4" s="96" t="s">
        <v>5</v>
      </c>
      <c r="B4" s="12" t="s">
        <v>3</v>
      </c>
      <c r="C4" s="13">
        <v>12</v>
      </c>
      <c r="K4" s="14"/>
      <c r="M4" s="11">
        <v>1.2</v>
      </c>
    </row>
    <row r="5" spans="1:13" ht="15.75">
      <c r="A5" s="97" t="s">
        <v>6</v>
      </c>
      <c r="B5" s="15" t="s">
        <v>3</v>
      </c>
      <c r="C5" s="6">
        <v>3.8</v>
      </c>
      <c r="M5" s="11">
        <v>1.3</v>
      </c>
    </row>
    <row r="6" spans="1:13" ht="16.5" thickBot="1">
      <c r="A6" s="98" t="s">
        <v>7</v>
      </c>
      <c r="B6" s="16" t="s">
        <v>3</v>
      </c>
      <c r="C6" s="17">
        <v>9.3</v>
      </c>
      <c r="M6" s="11">
        <v>1.5</v>
      </c>
    </row>
    <row r="7" spans="1:13" ht="15.75">
      <c r="A7" s="97" t="s">
        <v>8</v>
      </c>
      <c r="B7" s="15" t="s">
        <v>3</v>
      </c>
      <c r="C7" s="6">
        <v>5.6</v>
      </c>
      <c r="K7" s="14"/>
      <c r="M7" s="11">
        <v>1.6</v>
      </c>
    </row>
    <row r="8" spans="1:13" ht="16.5" thickBot="1">
      <c r="A8" s="98" t="s">
        <v>9</v>
      </c>
      <c r="B8" s="16" t="s">
        <v>3</v>
      </c>
      <c r="C8" s="17">
        <v>8.7</v>
      </c>
      <c r="M8" s="11">
        <v>1.8</v>
      </c>
    </row>
    <row r="9" spans="1:13" ht="15.75">
      <c r="A9" s="97" t="s">
        <v>10</v>
      </c>
      <c r="B9" s="18" t="s">
        <v>3</v>
      </c>
      <c r="C9" s="6">
        <v>5.8</v>
      </c>
      <c r="M9" s="11">
        <v>2</v>
      </c>
    </row>
    <row r="10" spans="1:15" ht="16.5" thickBot="1">
      <c r="A10" s="98" t="s">
        <v>11</v>
      </c>
      <c r="B10" s="16" t="s">
        <v>3</v>
      </c>
      <c r="C10" s="17">
        <v>7.3</v>
      </c>
      <c r="I10" s="19"/>
      <c r="J10" s="4"/>
      <c r="K10" s="20"/>
      <c r="M10" s="21">
        <v>2.2</v>
      </c>
      <c r="N10" s="22"/>
      <c r="O10" s="23"/>
    </row>
    <row r="11" spans="1:15" ht="16.5" thickBot="1">
      <c r="A11" s="96" t="s">
        <v>12</v>
      </c>
      <c r="B11" s="24" t="s">
        <v>3</v>
      </c>
      <c r="C11" s="13">
        <v>0.01</v>
      </c>
      <c r="D11" t="s">
        <v>3</v>
      </c>
      <c r="E11" s="25" t="s">
        <v>98</v>
      </c>
      <c r="F11" s="25"/>
      <c r="G11" s="25"/>
      <c r="H11" s="25"/>
      <c r="I11" s="19"/>
      <c r="J11" s="4"/>
      <c r="K11" s="20"/>
      <c r="M11" s="21">
        <v>2.4</v>
      </c>
      <c r="N11" s="22"/>
      <c r="O11" s="23"/>
    </row>
    <row r="12" spans="1:15" ht="16.5" thickBot="1">
      <c r="A12" s="26"/>
      <c r="B12" s="4"/>
      <c r="C12" s="27"/>
      <c r="I12" s="19"/>
      <c r="J12" s="4"/>
      <c r="K12" s="20"/>
      <c r="M12" s="21">
        <v>2.7</v>
      </c>
      <c r="N12" s="22"/>
      <c r="O12" s="23"/>
    </row>
    <row r="13" spans="1:15" ht="21" thickBot="1">
      <c r="A13" s="105" t="s">
        <v>13</v>
      </c>
      <c r="B13" s="106"/>
      <c r="C13" s="107"/>
      <c r="E13" s="105" t="s">
        <v>14</v>
      </c>
      <c r="F13" s="106"/>
      <c r="G13" s="107"/>
      <c r="I13" s="108" t="s">
        <v>15</v>
      </c>
      <c r="J13" s="106"/>
      <c r="K13" s="107"/>
      <c r="M13" s="21">
        <v>3</v>
      </c>
      <c r="N13" s="22"/>
      <c r="O13" s="23"/>
    </row>
    <row r="14" spans="1:15" ht="12.75">
      <c r="A14" s="28" t="s">
        <v>16</v>
      </c>
      <c r="B14" s="18" t="s">
        <v>3</v>
      </c>
      <c r="C14" s="29">
        <f>(10*Uд1min*(Uоп-Uд1min)*Iвх)/(Uоп*Uсм)</f>
        <v>0.0012983333333333332</v>
      </c>
      <c r="E14" s="28" t="s">
        <v>17</v>
      </c>
      <c r="F14" s="18" t="s">
        <v>3</v>
      </c>
      <c r="G14" s="29">
        <f>(10*Uд2min*(Uоп-Uд2min)*Iвх)/(Uоп*Uсм)</f>
        <v>0.0014933333333333335</v>
      </c>
      <c r="I14" s="28" t="s">
        <v>18</v>
      </c>
      <c r="J14" s="18" t="s">
        <v>3</v>
      </c>
      <c r="K14" s="29">
        <f>(10*Uд3min*(Uоп-Uд3min)*Iвх)/(Uоп*Uсм)</f>
        <v>0.0014983333333333335</v>
      </c>
      <c r="M14" s="21">
        <v>3.3</v>
      </c>
      <c r="N14" s="22"/>
      <c r="O14" s="23"/>
    </row>
    <row r="15" spans="1:15" ht="13.5" thickBot="1">
      <c r="A15" s="30" t="s">
        <v>19</v>
      </c>
      <c r="B15" s="16" t="s">
        <v>3</v>
      </c>
      <c r="C15" s="31">
        <f>(10*Uд1max*(Uоп-Uд1max)*Iвх)/(Uоп*Uсм)</f>
        <v>0.0010462499999999997</v>
      </c>
      <c r="E15" s="30" t="s">
        <v>20</v>
      </c>
      <c r="F15" s="16" t="s">
        <v>3</v>
      </c>
      <c r="G15" s="31">
        <f>(10*Uд2max*(Uоп-Uд2max)*Iвх)/(Uоп*Uсм)</f>
        <v>0.0011962500000000003</v>
      </c>
      <c r="I15" s="30" t="s">
        <v>21</v>
      </c>
      <c r="J15" s="16" t="s">
        <v>3</v>
      </c>
      <c r="K15" s="31">
        <f>(10*Uд3max*(Uоп-Uд3max)*Iвх)/(Uоп*Uсм)</f>
        <v>0.0014295833333333333</v>
      </c>
      <c r="M15" s="21">
        <v>3.6</v>
      </c>
      <c r="N15" s="22"/>
      <c r="O15" s="23"/>
    </row>
    <row r="16" spans="1:15" ht="13.5" thickBot="1">
      <c r="A16" s="32" t="s">
        <v>16</v>
      </c>
      <c r="B16" s="33" t="s">
        <v>22</v>
      </c>
      <c r="C16" s="34" t="s">
        <v>23</v>
      </c>
      <c r="E16" s="35" t="s">
        <v>17</v>
      </c>
      <c r="F16" s="33" t="s">
        <v>22</v>
      </c>
      <c r="G16" s="36" t="s">
        <v>23</v>
      </c>
      <c r="I16" s="35" t="s">
        <v>18</v>
      </c>
      <c r="J16" s="33" t="s">
        <v>22</v>
      </c>
      <c r="K16" s="36" t="s">
        <v>23</v>
      </c>
      <c r="M16" s="21">
        <v>3.9</v>
      </c>
      <c r="N16" s="22"/>
      <c r="O16" s="23"/>
    </row>
    <row r="17" spans="1:15" ht="12.75">
      <c r="A17" s="37">
        <f>C14</f>
        <v>0.0012983333333333332</v>
      </c>
      <c r="B17" s="4" t="s">
        <v>22</v>
      </c>
      <c r="C17" s="38">
        <f>Iвх*20</f>
        <v>4.9999999999999996E-06</v>
      </c>
      <c r="E17" s="37">
        <f>G14</f>
        <v>0.0014933333333333335</v>
      </c>
      <c r="F17" s="4" t="s">
        <v>22</v>
      </c>
      <c r="G17" s="38">
        <f>Iвх*20</f>
        <v>4.9999999999999996E-06</v>
      </c>
      <c r="I17" s="37">
        <f>K14</f>
        <v>0.0014983333333333335</v>
      </c>
      <c r="J17" s="4" t="s">
        <v>22</v>
      </c>
      <c r="K17" s="38">
        <f>Iвх*20</f>
        <v>4.9999999999999996E-06</v>
      </c>
      <c r="M17" s="21">
        <v>4.3</v>
      </c>
      <c r="N17" s="22"/>
      <c r="O17" s="23"/>
    </row>
    <row r="18" spans="1:15" ht="13.5" thickBot="1">
      <c r="A18" s="39">
        <f>C15</f>
        <v>0.0010462499999999997</v>
      </c>
      <c r="B18" s="16" t="s">
        <v>22</v>
      </c>
      <c r="C18" s="40">
        <f>Iвх*20</f>
        <v>4.9999999999999996E-06</v>
      </c>
      <c r="E18" s="39">
        <f>G15</f>
        <v>0.0011962500000000003</v>
      </c>
      <c r="F18" s="16" t="s">
        <v>22</v>
      </c>
      <c r="G18" s="40">
        <f>Iвх*20</f>
        <v>4.9999999999999996E-06</v>
      </c>
      <c r="I18" s="39">
        <f>K15</f>
        <v>0.0014295833333333333</v>
      </c>
      <c r="J18" s="41" t="s">
        <v>22</v>
      </c>
      <c r="K18" s="40">
        <f>Iвх*20</f>
        <v>4.9999999999999996E-06</v>
      </c>
      <c r="M18" s="21">
        <v>4.7</v>
      </c>
      <c r="N18" s="22"/>
      <c r="O18" s="23"/>
    </row>
    <row r="19" spans="1:13" ht="13.5" thickBot="1">
      <c r="A19" s="22"/>
      <c r="B19" s="22"/>
      <c r="C19" s="22"/>
      <c r="E19" s="22"/>
      <c r="F19" s="22"/>
      <c r="G19" s="22"/>
      <c r="I19" s="22"/>
      <c r="J19" s="22"/>
      <c r="K19" s="22"/>
      <c r="M19" s="21">
        <v>5.1</v>
      </c>
    </row>
    <row r="20" spans="1:13" ht="12.75">
      <c r="A20" s="42" t="s">
        <v>26</v>
      </c>
      <c r="B20" s="43" t="s">
        <v>3</v>
      </c>
      <c r="C20" s="44">
        <f>0.9*Uд1min/Iд1min</f>
        <v>2634.146341463415</v>
      </c>
      <c r="E20" s="42" t="s">
        <v>26</v>
      </c>
      <c r="F20" s="43" t="s">
        <v>3</v>
      </c>
      <c r="G20" s="44">
        <f>0.9*Uд2min/Iд2min</f>
        <v>3374.9999999999995</v>
      </c>
      <c r="I20" s="42" t="s">
        <v>26</v>
      </c>
      <c r="J20" s="43" t="s">
        <v>3</v>
      </c>
      <c r="K20" s="44">
        <f>0.9*Uд3min/Iд3min</f>
        <v>3483.870967741935</v>
      </c>
      <c r="M20" s="21">
        <v>5.6</v>
      </c>
    </row>
    <row r="21" spans="1:13" ht="12.75">
      <c r="A21" s="45" t="s">
        <v>25</v>
      </c>
      <c r="B21" s="22" t="s">
        <v>3</v>
      </c>
      <c r="C21" s="46">
        <f>1.1*Uд1min/Iд1min-R_1.1p</f>
        <v>585.3658536585363</v>
      </c>
      <c r="D21" s="47"/>
      <c r="E21" s="45" t="s">
        <v>25</v>
      </c>
      <c r="F21" s="22" t="s">
        <v>3</v>
      </c>
      <c r="G21" s="46">
        <f>1.1*Uд2min/Iд2min-R_1.2p</f>
        <v>750.0000000000005</v>
      </c>
      <c r="I21" s="45" t="s">
        <v>25</v>
      </c>
      <c r="J21" s="22" t="s">
        <v>3</v>
      </c>
      <c r="K21" s="46">
        <f>1.1*Uд3min/Iд3min-R_1.3p</f>
        <v>774.1935483870961</v>
      </c>
      <c r="M21" s="21">
        <v>6.2</v>
      </c>
    </row>
    <row r="22" spans="1:13" ht="12.75">
      <c r="A22" s="45" t="s">
        <v>24</v>
      </c>
      <c r="B22" s="22" t="s">
        <v>3</v>
      </c>
      <c r="C22" s="46">
        <f>Uоп/Iд1min-(R_1.1p+R_2.1p)</f>
        <v>6023.106546854942</v>
      </c>
      <c r="E22" s="45" t="s">
        <v>24</v>
      </c>
      <c r="F22" s="22" t="s">
        <v>3</v>
      </c>
      <c r="G22" s="46">
        <f>Uоп/Iд2min-(R_1.2p+R_2.2p)</f>
        <v>3910.7142857142844</v>
      </c>
      <c r="I22" s="45" t="s">
        <v>24</v>
      </c>
      <c r="J22" s="22" t="s">
        <v>3</v>
      </c>
      <c r="K22" s="46">
        <f>Uоп/Iд3min-(R_1.3p+R_2.3p)</f>
        <v>3750.83426028921</v>
      </c>
      <c r="M22" s="21">
        <v>6.8</v>
      </c>
    </row>
    <row r="23" spans="1:13" ht="12.75">
      <c r="A23" s="45"/>
      <c r="B23" s="22"/>
      <c r="C23" s="48"/>
      <c r="E23" s="45"/>
      <c r="F23" s="22"/>
      <c r="G23" s="48"/>
      <c r="I23" s="45"/>
      <c r="J23" s="22"/>
      <c r="K23" s="48"/>
      <c r="M23" s="21">
        <v>7.5</v>
      </c>
    </row>
    <row r="24" spans="1:13" ht="12.75">
      <c r="A24" s="45" t="s">
        <v>28</v>
      </c>
      <c r="B24" s="22" t="s">
        <v>3</v>
      </c>
      <c r="C24" s="46">
        <f>0.9*Uд1max/Iд1max</f>
        <v>8000.000000000004</v>
      </c>
      <c r="E24" s="45" t="s">
        <v>28</v>
      </c>
      <c r="F24" s="22" t="s">
        <v>3</v>
      </c>
      <c r="G24" s="46">
        <f>0.9*Uд2max/Iд2max</f>
        <v>6545.454545454543</v>
      </c>
      <c r="I24" s="45" t="s">
        <v>28</v>
      </c>
      <c r="J24" s="22" t="s">
        <v>3</v>
      </c>
      <c r="K24" s="46">
        <f>0.9*Uд3max/Iд3max</f>
        <v>4595.744680851064</v>
      </c>
      <c r="M24" s="21">
        <v>8.2</v>
      </c>
    </row>
    <row r="25" spans="1:13" ht="12.75">
      <c r="A25" s="45" t="s">
        <v>27</v>
      </c>
      <c r="B25" s="22" t="s">
        <v>3</v>
      </c>
      <c r="C25" s="46">
        <f>1.1*Uд1max/Iд1max-R_5.1p</f>
        <v>1777.7777777777792</v>
      </c>
      <c r="E25" s="45" t="s">
        <v>27</v>
      </c>
      <c r="F25" s="22" t="s">
        <v>3</v>
      </c>
      <c r="G25" s="46">
        <f>1.1*Uд2max/Iд2max-R_5.2p</f>
        <v>1454.545454545455</v>
      </c>
      <c r="I25" s="45" t="s">
        <v>27</v>
      </c>
      <c r="J25" s="22" t="s">
        <v>3</v>
      </c>
      <c r="K25" s="46">
        <f>1.1*Uд3max/Iд3max-R_5.3p</f>
        <v>1021.2765957446818</v>
      </c>
      <c r="M25" s="49">
        <v>9.1</v>
      </c>
    </row>
    <row r="26" spans="1:13" ht="12.75">
      <c r="A26" s="45" t="s">
        <v>29</v>
      </c>
      <c r="B26" s="22" t="s">
        <v>3</v>
      </c>
      <c r="C26" s="46">
        <f>Uоп/Iд1max-(R_5.1p+R_6.1p)</f>
        <v>1691.7562724014333</v>
      </c>
      <c r="E26" s="45" t="s">
        <v>29</v>
      </c>
      <c r="F26" s="22" t="s">
        <v>3</v>
      </c>
      <c r="G26" s="46">
        <f>Uоп/Iд2max-(R_5.2p+R_6.2p)</f>
        <v>2031.3479623824442</v>
      </c>
      <c r="I26" s="45" t="s">
        <v>29</v>
      </c>
      <c r="J26" s="22" t="s">
        <v>3</v>
      </c>
      <c r="K26" s="46">
        <f>Uоп/Iд3max-(R_5.3p+R_6.3p)</f>
        <v>2777.0329350043703</v>
      </c>
      <c r="M26" s="47">
        <v>10</v>
      </c>
    </row>
    <row r="27" spans="1:13" ht="12.75">
      <c r="A27" s="45"/>
      <c r="B27" s="22"/>
      <c r="C27" s="48"/>
      <c r="E27" s="45"/>
      <c r="F27" s="22"/>
      <c r="G27" s="48"/>
      <c r="I27" s="45"/>
      <c r="J27" s="22"/>
      <c r="K27" s="48"/>
      <c r="M27" s="50">
        <v>11</v>
      </c>
    </row>
    <row r="28" spans="1:13" ht="12.75">
      <c r="A28" s="45" t="s">
        <v>99</v>
      </c>
      <c r="B28" s="22" t="s">
        <v>3</v>
      </c>
      <c r="C28" s="46">
        <f>(R_1.1p+R_2.1p/2)*(R_3.1p+R_2.1p/2)/SUM(C20:C22)</f>
        <v>1999.9999999999998</v>
      </c>
      <c r="E28" s="45" t="s">
        <v>99</v>
      </c>
      <c r="F28" s="22" t="s">
        <v>3</v>
      </c>
      <c r="G28" s="46">
        <f>(R_1.2p+R_2.2p/2)*(G22+R_2.2p/2)/SUM(G20:G22)</f>
        <v>1999.9999999999998</v>
      </c>
      <c r="I28" s="45" t="s">
        <v>99</v>
      </c>
      <c r="J28" s="22" t="s">
        <v>3</v>
      </c>
      <c r="K28" s="46">
        <f>(R_1.3p+R_2.3p/2)*(R_3.3p+R_2.3p/2)/SUM(K20:K22)</f>
        <v>1999.9999999999998</v>
      </c>
      <c r="M28" s="50">
        <v>12</v>
      </c>
    </row>
    <row r="29" spans="1:13" ht="13.5" thickBot="1">
      <c r="A29" s="51" t="s">
        <v>100</v>
      </c>
      <c r="B29" s="41" t="s">
        <v>3</v>
      </c>
      <c r="C29" s="52">
        <f>(R_5.1p+R_6.1p/2)*(R_7.1p+R_6.1p/2)/SUM(C24:C26)</f>
        <v>2000.0000000000005</v>
      </c>
      <c r="E29" s="51" t="s">
        <v>100</v>
      </c>
      <c r="F29" s="41" t="s">
        <v>3</v>
      </c>
      <c r="G29" s="52">
        <f>(R_5.2p+R_6.2p/2)*(G26+R_6.2p/2)/SUM(G24:G26)</f>
        <v>1999.9999999999995</v>
      </c>
      <c r="I29" s="51" t="s">
        <v>100</v>
      </c>
      <c r="J29" s="41" t="s">
        <v>3</v>
      </c>
      <c r="K29" s="52">
        <f>(R_5.3p+R_6.3p/2)*(K26+R_6.3p/2)/SUM(K24:K26)</f>
        <v>1999.9999999999993</v>
      </c>
      <c r="M29" s="50">
        <v>13</v>
      </c>
    </row>
    <row r="30" spans="1:13" s="54" customFormat="1" ht="12.75">
      <c r="A30" s="19"/>
      <c r="B30" s="4"/>
      <c r="C30" s="53"/>
      <c r="E30" s="19"/>
      <c r="F30" s="4"/>
      <c r="G30" s="53"/>
      <c r="I30" s="19"/>
      <c r="J30" s="4"/>
      <c r="K30" s="53"/>
      <c r="M30" s="50">
        <v>15</v>
      </c>
    </row>
    <row r="31" spans="1:13" ht="12.75">
      <c r="A31" s="55" t="s">
        <v>30</v>
      </c>
      <c r="B31" s="4" t="s">
        <v>3</v>
      </c>
      <c r="C31" s="56">
        <f>Uоп/(R_1.1p+R_2.1p+R_3.1p)</f>
        <v>0.0012983333333333332</v>
      </c>
      <c r="D31" s="54" t="s">
        <v>31</v>
      </c>
      <c r="E31" s="55" t="s">
        <v>30</v>
      </c>
      <c r="F31" s="4" t="s">
        <v>3</v>
      </c>
      <c r="G31" s="56">
        <f>Uоп/(R_1.2p+R_2.2p+G22)</f>
        <v>0.0014933333333333335</v>
      </c>
      <c r="H31" s="54" t="s">
        <v>31</v>
      </c>
      <c r="I31" s="55" t="s">
        <v>30</v>
      </c>
      <c r="J31" s="4" t="s">
        <v>3</v>
      </c>
      <c r="K31" s="56">
        <f>Uоп/(R_1.3p+R_2.3p+R_3.3p)</f>
        <v>0.0014983333333333335</v>
      </c>
      <c r="L31" t="s">
        <v>31</v>
      </c>
      <c r="M31" s="50">
        <v>16</v>
      </c>
    </row>
    <row r="32" spans="1:13" ht="12.75">
      <c r="A32" s="55" t="s">
        <v>32</v>
      </c>
      <c r="B32" s="4" t="s">
        <v>3</v>
      </c>
      <c r="C32" s="56">
        <f>Uоп/(R_5.1p+R_6.1p+R_7.1p)</f>
        <v>0.0010462499999999997</v>
      </c>
      <c r="D32" s="54" t="s">
        <v>31</v>
      </c>
      <c r="E32" s="55" t="s">
        <v>32</v>
      </c>
      <c r="F32" s="4" t="s">
        <v>3</v>
      </c>
      <c r="G32" s="56">
        <f>Uоп/(R_5.2p+R_6.2p+G26)</f>
        <v>0.0011962500000000003</v>
      </c>
      <c r="H32" s="54" t="s">
        <v>31</v>
      </c>
      <c r="I32" s="55" t="s">
        <v>32</v>
      </c>
      <c r="J32" s="4" t="s">
        <v>3</v>
      </c>
      <c r="K32" s="56">
        <f>Uоп/(R_5.3p+R_6.3p+K26)</f>
        <v>0.0014295833333333335</v>
      </c>
      <c r="L32" t="s">
        <v>31</v>
      </c>
      <c r="M32" s="50">
        <v>18</v>
      </c>
    </row>
    <row r="33" spans="1:13" ht="12.75">
      <c r="A33" s="55"/>
      <c r="B33" s="22"/>
      <c r="C33" s="53"/>
      <c r="D33" s="54"/>
      <c r="E33" s="19"/>
      <c r="F33" s="4"/>
      <c r="G33" s="53"/>
      <c r="H33" s="54"/>
      <c r="I33" s="19"/>
      <c r="J33" s="4"/>
      <c r="K33" s="53"/>
      <c r="M33" s="50">
        <v>20</v>
      </c>
    </row>
    <row r="34" spans="1:13" ht="12.75">
      <c r="A34" s="55" t="s">
        <v>33</v>
      </c>
      <c r="B34" s="4" t="s">
        <v>3</v>
      </c>
      <c r="C34" s="57">
        <f>C31+C32+G31+G32+K31+K32</f>
        <v>0.007962083333333333</v>
      </c>
      <c r="D34" s="54" t="s">
        <v>31</v>
      </c>
      <c r="E34" s="19"/>
      <c r="F34" s="4"/>
      <c r="G34" s="53"/>
      <c r="H34" s="54"/>
      <c r="I34" s="19"/>
      <c r="J34" s="4"/>
      <c r="K34" s="53"/>
      <c r="M34" s="50">
        <v>22</v>
      </c>
    </row>
    <row r="35" spans="1:13" ht="12.75">
      <c r="A35" s="55"/>
      <c r="B35" s="4"/>
      <c r="C35" s="57"/>
      <c r="D35" s="54"/>
      <c r="E35" s="19"/>
      <c r="F35" s="4"/>
      <c r="G35" s="53"/>
      <c r="H35" s="54"/>
      <c r="I35" s="19"/>
      <c r="J35" s="4"/>
      <c r="K35" s="53"/>
      <c r="M35" s="50">
        <v>24</v>
      </c>
    </row>
    <row r="36" spans="1:13" ht="12.75">
      <c r="A36" s="109" t="s">
        <v>34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M36" s="50">
        <v>27</v>
      </c>
    </row>
    <row r="37" spans="1:13" ht="13.5" thickBot="1">
      <c r="A37" s="55"/>
      <c r="B37" s="4"/>
      <c r="C37" s="57"/>
      <c r="D37" s="54"/>
      <c r="E37" s="19"/>
      <c r="F37" s="4"/>
      <c r="G37" s="53"/>
      <c r="H37" s="54"/>
      <c r="I37" s="19"/>
      <c r="J37" s="4"/>
      <c r="K37" s="53"/>
      <c r="M37" s="50">
        <v>30</v>
      </c>
    </row>
    <row r="38" spans="1:13" ht="12.75">
      <c r="A38" s="110" t="s">
        <v>35</v>
      </c>
      <c r="B38" s="111"/>
      <c r="C38" s="112"/>
      <c r="D38" s="54"/>
      <c r="E38" s="110" t="s">
        <v>37</v>
      </c>
      <c r="F38" s="111"/>
      <c r="G38" s="112"/>
      <c r="H38" s="54"/>
      <c r="I38" s="110" t="s">
        <v>36</v>
      </c>
      <c r="J38" s="111"/>
      <c r="K38" s="112"/>
      <c r="M38" s="50">
        <v>33</v>
      </c>
    </row>
    <row r="39" spans="1:16" ht="12.75">
      <c r="A39" s="45" t="s">
        <v>44</v>
      </c>
      <c r="B39" s="4" t="s">
        <v>3</v>
      </c>
      <c r="C39" s="46">
        <f>VLOOKUP(R_1.1p,M2:M149,1,1)</f>
        <v>2400</v>
      </c>
      <c r="D39" s="54"/>
      <c r="E39" s="45" t="s">
        <v>46</v>
      </c>
      <c r="F39" s="4" t="s">
        <v>3</v>
      </c>
      <c r="G39" s="46">
        <f>VLOOKUP(R_1.2p,M2:M149,1,1)</f>
        <v>3300</v>
      </c>
      <c r="H39" s="54"/>
      <c r="I39" s="45" t="s">
        <v>45</v>
      </c>
      <c r="J39" s="4" t="s">
        <v>3</v>
      </c>
      <c r="K39" s="58">
        <f>VLOOKUP(R_1.3p,M2:M149,1,1)</f>
        <v>3300</v>
      </c>
      <c r="M39" s="50">
        <v>36</v>
      </c>
      <c r="P39" s="45" t="s">
        <v>40</v>
      </c>
    </row>
    <row r="40" spans="1:16" ht="12.75">
      <c r="A40" s="45" t="s">
        <v>41</v>
      </c>
      <c r="B40" s="4" t="s">
        <v>3</v>
      </c>
      <c r="C40" s="46">
        <f>VLOOKUP(R_2.1p,M2:M149,1,1)</f>
        <v>560</v>
      </c>
      <c r="D40" s="54"/>
      <c r="E40" s="45" t="s">
        <v>43</v>
      </c>
      <c r="F40" s="4" t="s">
        <v>3</v>
      </c>
      <c r="G40" s="46">
        <f>VLOOKUP(R_2.2p,M2:M149,1,1)</f>
        <v>750</v>
      </c>
      <c r="H40" s="54"/>
      <c r="I40" s="45" t="s">
        <v>42</v>
      </c>
      <c r="J40" s="4" t="s">
        <v>3</v>
      </c>
      <c r="K40" s="58">
        <f>VLOOKUP(R_2.3p,M2:M149,1,1)</f>
        <v>750</v>
      </c>
      <c r="M40" s="50">
        <v>39</v>
      </c>
      <c r="P40" s="45" t="s">
        <v>43</v>
      </c>
    </row>
    <row r="41" spans="1:16" ht="12.75">
      <c r="A41" s="45" t="s">
        <v>38</v>
      </c>
      <c r="B41" s="4" t="s">
        <v>3</v>
      </c>
      <c r="C41" s="46">
        <f>VLOOKUP(R_3.1p,M2:M149,1,1)</f>
        <v>5600</v>
      </c>
      <c r="D41" s="54"/>
      <c r="E41" s="45" t="s">
        <v>40</v>
      </c>
      <c r="F41" s="4" t="s">
        <v>3</v>
      </c>
      <c r="G41" s="46">
        <f>VLOOKUP(G22,M2:M149,1,1)</f>
        <v>3900</v>
      </c>
      <c r="H41" s="54"/>
      <c r="I41" s="45" t="s">
        <v>39</v>
      </c>
      <c r="J41" s="4" t="s">
        <v>3</v>
      </c>
      <c r="K41" s="58">
        <f>VLOOKUP(R_3.3p,M2:M149,1,1)</f>
        <v>3600</v>
      </c>
      <c r="M41" s="50">
        <v>43</v>
      </c>
      <c r="P41" s="45" t="s">
        <v>46</v>
      </c>
    </row>
    <row r="42" spans="1:16" ht="12.75">
      <c r="A42" s="45"/>
      <c r="B42" s="22"/>
      <c r="C42" s="46"/>
      <c r="D42" s="54"/>
      <c r="E42" s="45"/>
      <c r="F42" s="4"/>
      <c r="G42" s="46"/>
      <c r="H42" s="54"/>
      <c r="I42" s="45"/>
      <c r="J42" s="4"/>
      <c r="K42" s="58"/>
      <c r="M42" s="50">
        <v>47</v>
      </c>
      <c r="P42" s="45"/>
    </row>
    <row r="43" spans="1:16" ht="12.75">
      <c r="A43" s="45" t="s">
        <v>53</v>
      </c>
      <c r="B43" s="4" t="s">
        <v>3</v>
      </c>
      <c r="C43" s="46">
        <f>VLOOKUP(R_5.1p,M2:M149,1,1)</f>
        <v>7500</v>
      </c>
      <c r="D43" s="54"/>
      <c r="E43" s="45" t="s">
        <v>55</v>
      </c>
      <c r="F43" s="4" t="s">
        <v>3</v>
      </c>
      <c r="G43" s="46">
        <f>VLOOKUP(R_5.2p,M2:M149,1,1)</f>
        <v>6200</v>
      </c>
      <c r="H43" s="54"/>
      <c r="I43" s="45" t="s">
        <v>54</v>
      </c>
      <c r="J43" s="4" t="s">
        <v>3</v>
      </c>
      <c r="K43" s="58">
        <f>VLOOKUP(R_5.3p,M2:M149,1,1)</f>
        <v>4300</v>
      </c>
      <c r="M43" s="59">
        <v>51</v>
      </c>
      <c r="P43" s="45" t="s">
        <v>49</v>
      </c>
    </row>
    <row r="44" spans="1:16" ht="12.75">
      <c r="A44" s="45" t="s">
        <v>50</v>
      </c>
      <c r="B44" s="4" t="s">
        <v>3</v>
      </c>
      <c r="C44" s="46">
        <f>VLOOKUP(R_6.1p,M2:M149,1,1)</f>
        <v>1600</v>
      </c>
      <c r="D44" s="54"/>
      <c r="E44" s="45" t="s">
        <v>52</v>
      </c>
      <c r="F44" s="4" t="s">
        <v>3</v>
      </c>
      <c r="G44" s="46">
        <f>VLOOKUP(R_6.2p,M2:M149,1,1)</f>
        <v>1300</v>
      </c>
      <c r="H44" s="54"/>
      <c r="I44" s="45" t="s">
        <v>51</v>
      </c>
      <c r="J44" s="4" t="s">
        <v>3</v>
      </c>
      <c r="K44" s="58">
        <f>VLOOKUP(R_6.3p,M2:M149,1,1)</f>
        <v>1000</v>
      </c>
      <c r="M44" s="50">
        <v>56</v>
      </c>
      <c r="P44" s="45" t="s">
        <v>52</v>
      </c>
    </row>
    <row r="45" spans="1:16" ht="12.75">
      <c r="A45" s="45" t="s">
        <v>47</v>
      </c>
      <c r="B45" s="4" t="s">
        <v>3</v>
      </c>
      <c r="C45" s="46">
        <f>VLOOKUP(R_7.1p,M2:M149,1,1)</f>
        <v>1600</v>
      </c>
      <c r="D45" s="54"/>
      <c r="E45" s="45" t="s">
        <v>49</v>
      </c>
      <c r="F45" s="4" t="s">
        <v>3</v>
      </c>
      <c r="G45" s="46">
        <f>VLOOKUP(G26,M2:M149,1,1)</f>
        <v>2000</v>
      </c>
      <c r="H45" s="54"/>
      <c r="I45" s="45" t="s">
        <v>48</v>
      </c>
      <c r="J45" s="4" t="s">
        <v>3</v>
      </c>
      <c r="K45" s="58">
        <f>VLOOKUP(K26,M2:M149,1,1)</f>
        <v>2700</v>
      </c>
      <c r="M45" s="50">
        <v>62</v>
      </c>
      <c r="P45" s="45" t="s">
        <v>55</v>
      </c>
    </row>
    <row r="46" spans="1:16" ht="12.75">
      <c r="A46" s="45"/>
      <c r="B46" s="22"/>
      <c r="C46" s="46"/>
      <c r="D46" s="54"/>
      <c r="E46" s="45"/>
      <c r="F46" s="4"/>
      <c r="G46" s="46"/>
      <c r="H46" s="54"/>
      <c r="I46" s="45"/>
      <c r="J46" s="4"/>
      <c r="K46" s="46"/>
      <c r="M46" s="50">
        <v>68</v>
      </c>
      <c r="P46" s="45"/>
    </row>
    <row r="47" spans="1:16" ht="12.75">
      <c r="A47" s="45" t="s">
        <v>56</v>
      </c>
      <c r="B47" s="4" t="s">
        <v>3</v>
      </c>
      <c r="C47" s="60">
        <f>VLOOKUP(C28,M2:M149,1,1)</f>
        <v>1800</v>
      </c>
      <c r="D47" s="54"/>
      <c r="E47" s="45" t="s">
        <v>58</v>
      </c>
      <c r="F47" s="4" t="s">
        <v>3</v>
      </c>
      <c r="G47" s="60">
        <f>VLOOKUP(G28,M2:M149,1,1)</f>
        <v>1800</v>
      </c>
      <c r="H47" s="54"/>
      <c r="I47" s="45" t="s">
        <v>57</v>
      </c>
      <c r="J47" s="4" t="s">
        <v>3</v>
      </c>
      <c r="K47" s="60">
        <f>VLOOKUP(K28,M2:M149,1,1)</f>
        <v>1800</v>
      </c>
      <c r="M47" s="50">
        <v>75</v>
      </c>
      <c r="P47" s="45" t="s">
        <v>58</v>
      </c>
    </row>
    <row r="48" spans="1:16" ht="13.5" thickBot="1">
      <c r="A48" s="51" t="s">
        <v>59</v>
      </c>
      <c r="B48" s="16" t="s">
        <v>3</v>
      </c>
      <c r="C48" s="61">
        <f>VLOOKUP(C29,M2:M149,1,1)</f>
        <v>2000</v>
      </c>
      <c r="D48" s="54"/>
      <c r="E48" s="51" t="s">
        <v>61</v>
      </c>
      <c r="F48" s="16" t="s">
        <v>3</v>
      </c>
      <c r="G48" s="61">
        <f>VLOOKUP(G29,M2:M149,1,1)</f>
        <v>1800</v>
      </c>
      <c r="H48" s="54"/>
      <c r="I48" s="51" t="s">
        <v>60</v>
      </c>
      <c r="J48" s="16" t="s">
        <v>3</v>
      </c>
      <c r="K48" s="61">
        <f>VLOOKUP(K29,M2:M149,1,1)</f>
        <v>1800</v>
      </c>
      <c r="M48" s="50">
        <v>82</v>
      </c>
      <c r="P48" s="51" t="s">
        <v>61</v>
      </c>
    </row>
    <row r="49" spans="1:13" ht="12.75">
      <c r="A49" s="55"/>
      <c r="B49" s="4"/>
      <c r="C49" s="53"/>
      <c r="D49" s="54"/>
      <c r="E49" s="55"/>
      <c r="F49" s="4"/>
      <c r="G49" s="53"/>
      <c r="H49" s="54"/>
      <c r="I49" s="55"/>
      <c r="J49" s="4"/>
      <c r="K49" s="53"/>
      <c r="M49" s="50">
        <v>91</v>
      </c>
    </row>
    <row r="50" spans="1:13" ht="12.75">
      <c r="A50" s="55" t="s">
        <v>38</v>
      </c>
      <c r="B50" s="4" t="s">
        <v>3</v>
      </c>
      <c r="C50" s="53">
        <f>C39+C40+C41</f>
        <v>8560</v>
      </c>
      <c r="D50" s="54"/>
      <c r="E50" s="55" t="s">
        <v>44</v>
      </c>
      <c r="F50" s="4" t="s">
        <v>3</v>
      </c>
      <c r="G50" s="53">
        <f>G39+G40+G41</f>
        <v>7950</v>
      </c>
      <c r="H50" s="54"/>
      <c r="I50" s="55" t="s">
        <v>50</v>
      </c>
      <c r="J50" s="4" t="s">
        <v>3</v>
      </c>
      <c r="K50" s="53">
        <f>K39+K40+K41</f>
        <v>7650</v>
      </c>
      <c r="M50" s="50">
        <v>100</v>
      </c>
    </row>
    <row r="51" spans="1:13" ht="12.75">
      <c r="A51" s="55" t="s">
        <v>41</v>
      </c>
      <c r="B51" s="4" t="s">
        <v>3</v>
      </c>
      <c r="C51" s="53">
        <f>C43+C44+C45</f>
        <v>10700</v>
      </c>
      <c r="D51" s="54"/>
      <c r="E51" s="55" t="s">
        <v>47</v>
      </c>
      <c r="F51" s="4" t="s">
        <v>3</v>
      </c>
      <c r="G51" s="53">
        <f>G43+G44+G45</f>
        <v>9500</v>
      </c>
      <c r="H51" s="54"/>
      <c r="I51" s="55" t="s">
        <v>53</v>
      </c>
      <c r="J51" s="4" t="s">
        <v>3</v>
      </c>
      <c r="K51" s="53">
        <f>K43+K44+K45</f>
        <v>8000</v>
      </c>
      <c r="M51" s="50">
        <v>110</v>
      </c>
    </row>
    <row r="52" spans="1:13" ht="12.75">
      <c r="A52" s="55" t="s">
        <v>62</v>
      </c>
      <c r="B52" s="4" t="s">
        <v>3</v>
      </c>
      <c r="C52" s="53">
        <f>(C50*C51)/(C50+C51)</f>
        <v>4755.555555555556</v>
      </c>
      <c r="D52" s="54"/>
      <c r="E52" s="55" t="s">
        <v>63</v>
      </c>
      <c r="F52" s="4" t="s">
        <v>3</v>
      </c>
      <c r="G52" s="53">
        <f>(G50*G51)/(G50+G51)</f>
        <v>4328.080229226361</v>
      </c>
      <c r="H52" s="54"/>
      <c r="I52" s="55" t="s">
        <v>64</v>
      </c>
      <c r="J52" s="4" t="s">
        <v>3</v>
      </c>
      <c r="K52" s="53">
        <f>(K50*K51)/(K50+K51)</f>
        <v>3910.543130990415</v>
      </c>
      <c r="M52" s="50">
        <v>120</v>
      </c>
    </row>
    <row r="53" spans="1:13" ht="12.75">
      <c r="A53" s="55" t="s">
        <v>65</v>
      </c>
      <c r="B53" s="4" t="s">
        <v>3</v>
      </c>
      <c r="C53" s="53">
        <f>(C52*G52)/(C52+G52)</f>
        <v>2265.8797057308184</v>
      </c>
      <c r="D53" s="54"/>
      <c r="E53" s="55"/>
      <c r="F53" s="4"/>
      <c r="G53" s="53"/>
      <c r="H53" s="54"/>
      <c r="I53" s="55"/>
      <c r="J53" s="4"/>
      <c r="K53" s="53"/>
      <c r="M53" s="50">
        <v>130</v>
      </c>
    </row>
    <row r="54" spans="1:13" ht="12.75">
      <c r="A54" s="55" t="s">
        <v>66</v>
      </c>
      <c r="B54" s="4" t="s">
        <v>3</v>
      </c>
      <c r="C54" s="62">
        <f>(C53*K52)/(C53+K52)</f>
        <v>1434.620095343087</v>
      </c>
      <c r="D54" s="54"/>
      <c r="E54" s="55"/>
      <c r="F54" s="4"/>
      <c r="G54" s="53"/>
      <c r="H54" s="54"/>
      <c r="I54" s="55"/>
      <c r="J54" s="4"/>
      <c r="K54" s="53"/>
      <c r="M54" s="50">
        <v>150</v>
      </c>
    </row>
    <row r="55" spans="1:13" ht="12.75">
      <c r="A55" s="55"/>
      <c r="B55" s="4"/>
      <c r="C55" s="53"/>
      <c r="D55" s="54"/>
      <c r="E55" s="55"/>
      <c r="F55" s="4"/>
      <c r="G55" s="53"/>
      <c r="H55" s="54"/>
      <c r="I55" s="55"/>
      <c r="J55" s="4"/>
      <c r="K55" s="53"/>
      <c r="M55" s="50">
        <v>160</v>
      </c>
    </row>
    <row r="56" spans="1:13" ht="12" customHeight="1">
      <c r="A56" s="55"/>
      <c r="B56" s="22"/>
      <c r="C56" s="53"/>
      <c r="D56" s="54"/>
      <c r="E56" s="19"/>
      <c r="F56" s="4"/>
      <c r="G56" s="53"/>
      <c r="H56" s="54"/>
      <c r="I56" s="19"/>
      <c r="J56" s="4"/>
      <c r="K56" s="53"/>
      <c r="M56" s="50">
        <v>180</v>
      </c>
    </row>
    <row r="57" spans="1:13" ht="12.75">
      <c r="A57" s="55" t="s">
        <v>67</v>
      </c>
      <c r="B57" s="4" t="s">
        <v>3</v>
      </c>
      <c r="C57" s="56">
        <f>Uоп/(C39+C40+C41)</f>
        <v>0.0014018691588785046</v>
      </c>
      <c r="D57" s="54" t="s">
        <v>31</v>
      </c>
      <c r="E57" s="55" t="s">
        <v>67</v>
      </c>
      <c r="F57" s="4" t="s">
        <v>3</v>
      </c>
      <c r="G57" s="56">
        <f>Uоп/(G39+G40+G41)</f>
        <v>0.0015094339622641509</v>
      </c>
      <c r="H57" s="54" t="s">
        <v>31</v>
      </c>
      <c r="I57" s="55" t="s">
        <v>67</v>
      </c>
      <c r="J57" s="4" t="s">
        <v>3</v>
      </c>
      <c r="K57" s="56">
        <f>Uоп/(K39+K40+K41)</f>
        <v>0.001568627450980392</v>
      </c>
      <c r="L57" t="s">
        <v>31</v>
      </c>
      <c r="M57" s="50">
        <v>200</v>
      </c>
    </row>
    <row r="58" spans="1:13" ht="12.75">
      <c r="A58" s="55" t="s">
        <v>68</v>
      </c>
      <c r="B58" s="4" t="s">
        <v>3</v>
      </c>
      <c r="C58" s="56">
        <f>Uоп/(C43+C44+C45)</f>
        <v>0.0011214953271028037</v>
      </c>
      <c r="D58" s="54" t="s">
        <v>31</v>
      </c>
      <c r="E58" s="55" t="s">
        <v>68</v>
      </c>
      <c r="F58" s="4" t="s">
        <v>3</v>
      </c>
      <c r="G58" s="56">
        <f>Uоп/(G43+G44+G45)</f>
        <v>0.0012631578947368421</v>
      </c>
      <c r="H58" s="54" t="s">
        <v>31</v>
      </c>
      <c r="I58" s="55" t="s">
        <v>68</v>
      </c>
      <c r="J58" s="4" t="s">
        <v>3</v>
      </c>
      <c r="K58" s="56">
        <f>Uоп/(K43+K44+K45)</f>
        <v>0.0015</v>
      </c>
      <c r="L58" t="s">
        <v>31</v>
      </c>
      <c r="M58" s="50">
        <v>220</v>
      </c>
    </row>
    <row r="59" spans="1:13" ht="12.75">
      <c r="A59" s="55"/>
      <c r="B59" s="22"/>
      <c r="C59" s="53"/>
      <c r="D59" s="54"/>
      <c r="E59" s="19"/>
      <c r="F59" s="4"/>
      <c r="G59" s="53"/>
      <c r="H59" s="54"/>
      <c r="I59" s="19"/>
      <c r="J59" s="4"/>
      <c r="K59" s="53"/>
      <c r="M59" s="50">
        <v>240</v>
      </c>
    </row>
    <row r="60" spans="1:13" ht="12.75">
      <c r="A60" s="55" t="s">
        <v>69</v>
      </c>
      <c r="B60" s="4" t="s">
        <v>3</v>
      </c>
      <c r="C60" s="63">
        <f>C57+C58+G57+G58+K57+K58</f>
        <v>0.008364583793962693</v>
      </c>
      <c r="D60" s="54" t="s">
        <v>31</v>
      </c>
      <c r="E60" s="19"/>
      <c r="F60" s="4"/>
      <c r="G60" s="53"/>
      <c r="H60" s="54"/>
      <c r="I60" s="19"/>
      <c r="J60" s="4"/>
      <c r="K60" s="53"/>
      <c r="M60" s="50">
        <v>270</v>
      </c>
    </row>
    <row r="61" spans="1:13" ht="12.75">
      <c r="A61" s="55"/>
      <c r="B61" s="4"/>
      <c r="C61" s="56"/>
      <c r="D61" s="54"/>
      <c r="E61" s="19"/>
      <c r="F61" s="4"/>
      <c r="G61" s="53"/>
      <c r="H61" s="54"/>
      <c r="I61" s="19"/>
      <c r="J61" s="4"/>
      <c r="K61" s="53"/>
      <c r="M61" s="50">
        <v>300</v>
      </c>
    </row>
    <row r="62" spans="1:13" ht="12.75">
      <c r="A62" s="109" t="s">
        <v>70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M62" s="50">
        <v>330</v>
      </c>
    </row>
    <row r="63" spans="1:13" s="54" customFormat="1" ht="13.5" thickBot="1">
      <c r="A63" s="64"/>
      <c r="B63" s="64"/>
      <c r="C63" s="64"/>
      <c r="E63" s="19"/>
      <c r="F63" s="4"/>
      <c r="G63" s="53"/>
      <c r="I63" s="19"/>
      <c r="J63" s="4"/>
      <c r="K63" s="53"/>
      <c r="M63" s="50">
        <v>360</v>
      </c>
    </row>
    <row r="64" spans="1:13" ht="12.75">
      <c r="A64" s="110" t="s">
        <v>35</v>
      </c>
      <c r="B64" s="111"/>
      <c r="C64" s="112"/>
      <c r="D64" s="54"/>
      <c r="E64" s="110" t="s">
        <v>36</v>
      </c>
      <c r="F64" s="111"/>
      <c r="G64" s="112"/>
      <c r="H64" s="54"/>
      <c r="I64" s="110" t="s">
        <v>37</v>
      </c>
      <c r="J64" s="111"/>
      <c r="K64" s="112"/>
      <c r="M64" s="50">
        <v>390</v>
      </c>
    </row>
    <row r="65" spans="1:13" s="54" customFormat="1" ht="12.75">
      <c r="A65" s="45" t="s">
        <v>44</v>
      </c>
      <c r="B65" s="64" t="s">
        <v>3</v>
      </c>
      <c r="C65" s="65">
        <f>C57*C57*C39</f>
        <v>0.0047165691326753415</v>
      </c>
      <c r="E65" s="45" t="s">
        <v>44</v>
      </c>
      <c r="F65" s="4" t="s">
        <v>3</v>
      </c>
      <c r="G65" s="65">
        <f>G57*G57*G39</f>
        <v>0.007518689925240298</v>
      </c>
      <c r="I65" s="45" t="s">
        <v>44</v>
      </c>
      <c r="J65" s="4" t="s">
        <v>3</v>
      </c>
      <c r="K65" s="65">
        <f>K57*K57*K39</f>
        <v>0.0081199538638985</v>
      </c>
      <c r="M65" s="50">
        <v>430</v>
      </c>
    </row>
    <row r="66" spans="1:13" s="54" customFormat="1" ht="12.75">
      <c r="A66" s="45" t="s">
        <v>41</v>
      </c>
      <c r="B66" s="64" t="s">
        <v>3</v>
      </c>
      <c r="C66" s="65">
        <f>C57*C57*C40</f>
        <v>0.0011005327976242464</v>
      </c>
      <c r="E66" s="45" t="s">
        <v>41</v>
      </c>
      <c r="F66" s="4" t="s">
        <v>3</v>
      </c>
      <c r="G66" s="65">
        <f>G57*G57*G40</f>
        <v>0.0017087931648273405</v>
      </c>
      <c r="I66" s="45" t="s">
        <v>41</v>
      </c>
      <c r="J66" s="4" t="s">
        <v>3</v>
      </c>
      <c r="K66" s="65">
        <f>K57*K57*K40</f>
        <v>0.0018454440599769317</v>
      </c>
      <c r="M66" s="50">
        <v>470</v>
      </c>
    </row>
    <row r="67" spans="1:13" s="54" customFormat="1" ht="12.75">
      <c r="A67" s="45" t="s">
        <v>38</v>
      </c>
      <c r="B67" s="64" t="s">
        <v>3</v>
      </c>
      <c r="C67" s="65">
        <f>C57*C57*C41</f>
        <v>0.011005327976242464</v>
      </c>
      <c r="E67" s="45" t="s">
        <v>38</v>
      </c>
      <c r="F67" s="4" t="s">
        <v>3</v>
      </c>
      <c r="G67" s="65">
        <f>G57*G57*G41</f>
        <v>0.00888572445710217</v>
      </c>
      <c r="I67" s="45" t="s">
        <v>38</v>
      </c>
      <c r="J67" s="4" t="s">
        <v>3</v>
      </c>
      <c r="K67" s="65">
        <f>K57*K57*K41</f>
        <v>0.008858131487889272</v>
      </c>
      <c r="M67" s="50">
        <v>510</v>
      </c>
    </row>
    <row r="68" spans="1:13" s="54" customFormat="1" ht="12.75">
      <c r="A68" s="45"/>
      <c r="B68" s="64"/>
      <c r="C68" s="58"/>
      <c r="E68" s="45"/>
      <c r="F68" s="4"/>
      <c r="G68" s="58"/>
      <c r="I68" s="45"/>
      <c r="J68" s="4"/>
      <c r="K68" s="58"/>
      <c r="M68" s="50">
        <v>560</v>
      </c>
    </row>
    <row r="69" spans="1:13" s="54" customFormat="1" ht="12.75">
      <c r="A69" s="45" t="s">
        <v>53</v>
      </c>
      <c r="B69" s="64" t="s">
        <v>3</v>
      </c>
      <c r="C69" s="65">
        <f>C58*C58*C43</f>
        <v>0.009433138265350685</v>
      </c>
      <c r="E69" s="45" t="s">
        <v>53</v>
      </c>
      <c r="F69" s="4" t="s">
        <v>3</v>
      </c>
      <c r="G69" s="65">
        <f>G58*G58*G43</f>
        <v>0.009892520775623269</v>
      </c>
      <c r="I69" s="45" t="s">
        <v>53</v>
      </c>
      <c r="J69" s="4" t="s">
        <v>3</v>
      </c>
      <c r="K69" s="65">
        <f>K58*K58*K43</f>
        <v>0.009675</v>
      </c>
      <c r="M69" s="50">
        <v>620</v>
      </c>
    </row>
    <row r="70" spans="1:13" s="54" customFormat="1" ht="12.75">
      <c r="A70" s="45" t="s">
        <v>50</v>
      </c>
      <c r="B70" s="64" t="s">
        <v>3</v>
      </c>
      <c r="C70" s="65">
        <f>C58*C58*C44</f>
        <v>0.0020124028299414796</v>
      </c>
      <c r="E70" s="45" t="s">
        <v>50</v>
      </c>
      <c r="F70" s="4" t="s">
        <v>3</v>
      </c>
      <c r="G70" s="65">
        <f>G58*G58*G44</f>
        <v>0.0020742382271468148</v>
      </c>
      <c r="I70" s="45" t="s">
        <v>50</v>
      </c>
      <c r="J70" s="4" t="s">
        <v>3</v>
      </c>
      <c r="K70" s="65">
        <f>K58*K58*K44</f>
        <v>0.0022500000000000003</v>
      </c>
      <c r="M70" s="50">
        <v>680</v>
      </c>
    </row>
    <row r="71" spans="1:13" s="54" customFormat="1" ht="12.75">
      <c r="A71" s="45" t="s">
        <v>47</v>
      </c>
      <c r="B71" s="64" t="s">
        <v>3</v>
      </c>
      <c r="C71" s="65">
        <f>C58*C58*C45</f>
        <v>0.0020124028299414796</v>
      </c>
      <c r="E71" s="45" t="s">
        <v>47</v>
      </c>
      <c r="F71" s="4" t="s">
        <v>3</v>
      </c>
      <c r="G71" s="65">
        <f>G58*G58*G45</f>
        <v>0.0031911357340720222</v>
      </c>
      <c r="I71" s="45" t="s">
        <v>47</v>
      </c>
      <c r="J71" s="4" t="s">
        <v>3</v>
      </c>
      <c r="K71" s="65">
        <f>K58*K58*K45</f>
        <v>0.0060750000000000005</v>
      </c>
      <c r="M71" s="50">
        <v>750</v>
      </c>
    </row>
    <row r="72" spans="1:13" s="54" customFormat="1" ht="12.75">
      <c r="A72" s="66"/>
      <c r="B72" s="64"/>
      <c r="C72" s="58"/>
      <c r="E72" s="45"/>
      <c r="F72" s="4"/>
      <c r="G72" s="46"/>
      <c r="I72" s="45"/>
      <c r="J72" s="4"/>
      <c r="K72" s="46"/>
      <c r="M72" s="50">
        <v>820</v>
      </c>
    </row>
    <row r="73" spans="1:13" s="54" customFormat="1" ht="12.75">
      <c r="A73" s="45" t="s">
        <v>56</v>
      </c>
      <c r="B73" s="4" t="s">
        <v>3</v>
      </c>
      <c r="C73" s="65">
        <f>Uд1max*Uд1max/C47</f>
        <v>0.04805</v>
      </c>
      <c r="D73" s="4"/>
      <c r="E73" s="45" t="s">
        <v>57</v>
      </c>
      <c r="F73" s="4" t="s">
        <v>3</v>
      </c>
      <c r="G73" s="65">
        <f>Uд2max*Uд2max/G47</f>
        <v>0.04204999999999999</v>
      </c>
      <c r="H73" s="4"/>
      <c r="I73" s="45" t="s">
        <v>58</v>
      </c>
      <c r="J73" s="4" t="s">
        <v>3</v>
      </c>
      <c r="K73" s="65">
        <f>Uд3max*Uд3max/K47</f>
        <v>0.029605555555555555</v>
      </c>
      <c r="M73" s="50">
        <v>910</v>
      </c>
    </row>
    <row r="74" spans="1:13" s="54" customFormat="1" ht="13.5" thickBot="1">
      <c r="A74" s="51" t="s">
        <v>59</v>
      </c>
      <c r="B74" s="16" t="s">
        <v>3</v>
      </c>
      <c r="C74" s="67">
        <f>Uд1max*Uд1max/C48</f>
        <v>0.043245000000000006</v>
      </c>
      <c r="D74" s="4"/>
      <c r="E74" s="51" t="s">
        <v>60</v>
      </c>
      <c r="F74" s="16" t="s">
        <v>3</v>
      </c>
      <c r="G74" s="67">
        <f>Uд2max*Uд2max/G48</f>
        <v>0.04204999999999999</v>
      </c>
      <c r="H74" s="4"/>
      <c r="I74" s="51" t="s">
        <v>61</v>
      </c>
      <c r="J74" s="16" t="s">
        <v>3</v>
      </c>
      <c r="K74" s="67">
        <f>Uд3max*Uд3max/K48</f>
        <v>0.029605555555555555</v>
      </c>
      <c r="M74" s="50">
        <v>1000</v>
      </c>
    </row>
    <row r="75" spans="1:13" s="54" customFormat="1" ht="12.75">
      <c r="A75" s="64"/>
      <c r="B75" s="64"/>
      <c r="C75" s="64"/>
      <c r="E75" s="19"/>
      <c r="F75" s="4"/>
      <c r="G75" s="53"/>
      <c r="I75" s="19"/>
      <c r="J75" s="4"/>
      <c r="K75" s="53"/>
      <c r="M75" s="50">
        <v>1100</v>
      </c>
    </row>
    <row r="76" spans="1:13" s="54" customFormat="1" ht="12.75">
      <c r="A76" s="64"/>
      <c r="B76" s="64"/>
      <c r="C76" s="103">
        <f>C65+C66+C67+C69+C70+C71</f>
        <v>0.030280373831775696</v>
      </c>
      <c r="E76" s="19"/>
      <c r="F76" s="4"/>
      <c r="G76" s="56">
        <f>G65+G66+G67+G69+G70+G71</f>
        <v>0.033271102284011915</v>
      </c>
      <c r="I76" s="19"/>
      <c r="J76" s="4"/>
      <c r="K76" s="56">
        <f>K65+K67+K66+K69+K70+K71</f>
        <v>0.0368235294117647</v>
      </c>
      <c r="M76" s="50"/>
    </row>
    <row r="77" spans="1:13" s="54" customFormat="1" ht="12.75">
      <c r="A77" s="64"/>
      <c r="B77" s="64"/>
      <c r="C77" s="64"/>
      <c r="E77" s="104">
        <f>C76+G76+K76</f>
        <v>0.10037500552755231</v>
      </c>
      <c r="F77" s="4"/>
      <c r="G77" s="53"/>
      <c r="I77" s="19"/>
      <c r="J77" s="4"/>
      <c r="K77" s="53"/>
      <c r="M77" s="50"/>
    </row>
    <row r="78" spans="1:13" s="54" customFormat="1" ht="12.75">
      <c r="A78" s="64"/>
      <c r="B78" s="64"/>
      <c r="C78" s="64"/>
      <c r="E78" s="19"/>
      <c r="F78" s="4"/>
      <c r="G78" s="53"/>
      <c r="I78" s="19"/>
      <c r="J78" s="4"/>
      <c r="K78" s="53"/>
      <c r="M78" s="50"/>
    </row>
    <row r="79" spans="1:13" ht="12.75">
      <c r="A79" s="113" t="s">
        <v>71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M79" s="50">
        <v>1200</v>
      </c>
    </row>
    <row r="80" spans="2:13" ht="12.75">
      <c r="B80" s="4"/>
      <c r="C80" s="56"/>
      <c r="D80" s="54"/>
      <c r="E80" s="19"/>
      <c r="F80" s="4"/>
      <c r="G80" s="53"/>
      <c r="H80" s="54"/>
      <c r="I80" s="19"/>
      <c r="J80" s="4"/>
      <c r="K80" s="53"/>
      <c r="M80" s="50">
        <v>1300</v>
      </c>
    </row>
    <row r="81" spans="3:13" ht="12.75">
      <c r="C81" s="68"/>
      <c r="M81" s="50">
        <v>1500</v>
      </c>
    </row>
    <row r="82" spans="1:13" ht="12.75">
      <c r="A82" s="69" t="s">
        <v>72</v>
      </c>
      <c r="B82" s="69"/>
      <c r="C82" s="70"/>
      <c r="D82" s="69"/>
      <c r="E82" s="69"/>
      <c r="F82" s="69"/>
      <c r="G82" s="69"/>
      <c r="H82" s="71" t="s">
        <v>73</v>
      </c>
      <c r="I82" s="69"/>
      <c r="J82" s="69"/>
      <c r="K82" s="69"/>
      <c r="M82" s="50">
        <v>1600</v>
      </c>
    </row>
    <row r="83" spans="3:13" ht="12.75">
      <c r="C83" s="68"/>
      <c r="M83" s="50">
        <v>1800</v>
      </c>
    </row>
    <row r="84" spans="1:13" ht="12.75">
      <c r="A84" s="72" t="s">
        <v>74</v>
      </c>
      <c r="B84" s="73" t="s">
        <v>3</v>
      </c>
      <c r="C84" s="74">
        <v>0.0005</v>
      </c>
      <c r="D84" t="s">
        <v>75</v>
      </c>
      <c r="M84" s="50">
        <v>2000</v>
      </c>
    </row>
    <row r="85" spans="1:13" ht="12.75">
      <c r="A85" s="75" t="s">
        <v>76</v>
      </c>
      <c r="B85" s="4" t="s">
        <v>3</v>
      </c>
      <c r="C85" s="76">
        <v>2000</v>
      </c>
      <c r="D85" t="s">
        <v>77</v>
      </c>
      <c r="M85" s="50">
        <v>2200</v>
      </c>
    </row>
    <row r="86" spans="1:13" ht="12.75">
      <c r="A86" s="77" t="s">
        <v>78</v>
      </c>
      <c r="B86" s="78" t="s">
        <v>3</v>
      </c>
      <c r="C86" s="79">
        <f>C84/C85</f>
        <v>2.5E-07</v>
      </c>
      <c r="D86" t="s">
        <v>79</v>
      </c>
      <c r="E86" s="54"/>
      <c r="F86" s="54"/>
      <c r="G86" s="54"/>
      <c r="H86" s="54"/>
      <c r="I86" s="54"/>
      <c r="J86" s="54"/>
      <c r="K86" s="54"/>
      <c r="M86" s="50">
        <v>2400</v>
      </c>
    </row>
    <row r="87" spans="3:13" ht="12.75">
      <c r="C87" s="68"/>
      <c r="M87" s="50">
        <v>2700</v>
      </c>
    </row>
    <row r="88" spans="1:13" ht="12.75">
      <c r="A88" s="69" t="s">
        <v>80</v>
      </c>
      <c r="B88" s="69"/>
      <c r="C88" s="70"/>
      <c r="D88" s="69"/>
      <c r="E88" s="69"/>
      <c r="F88" s="69"/>
      <c r="G88" s="69"/>
      <c r="H88" s="71" t="s">
        <v>81</v>
      </c>
      <c r="I88" s="71"/>
      <c r="J88" s="69"/>
      <c r="K88" s="69"/>
      <c r="M88" s="50">
        <v>3000</v>
      </c>
    </row>
    <row r="89" spans="3:13" ht="12.75">
      <c r="C89" s="68"/>
      <c r="H89" s="4"/>
      <c r="I89" s="4"/>
      <c r="M89" s="50">
        <v>3300</v>
      </c>
    </row>
    <row r="90" spans="1:13" ht="12.75">
      <c r="A90" s="72" t="s">
        <v>82</v>
      </c>
      <c r="B90" s="73" t="s">
        <v>3</v>
      </c>
      <c r="C90" s="80">
        <v>0.019</v>
      </c>
      <c r="D90" s="81" t="s">
        <v>75</v>
      </c>
      <c r="E90" s="72" t="s">
        <v>83</v>
      </c>
      <c r="F90" s="73" t="s">
        <v>3</v>
      </c>
      <c r="G90" s="82">
        <v>0.019</v>
      </c>
      <c r="H90" s="54" t="s">
        <v>75</v>
      </c>
      <c r="M90" s="50">
        <v>3600</v>
      </c>
    </row>
    <row r="91" spans="1:13" ht="12.75">
      <c r="A91" s="75" t="s">
        <v>76</v>
      </c>
      <c r="B91" s="4" t="s">
        <v>3</v>
      </c>
      <c r="C91" s="76">
        <v>180000</v>
      </c>
      <c r="D91" s="54" t="s">
        <v>77</v>
      </c>
      <c r="E91" s="75" t="s">
        <v>76</v>
      </c>
      <c r="F91" s="4" t="s">
        <v>3</v>
      </c>
      <c r="G91" s="83">
        <v>390000</v>
      </c>
      <c r="H91" s="54" t="s">
        <v>77</v>
      </c>
      <c r="M91" s="50">
        <v>3900</v>
      </c>
    </row>
    <row r="92" spans="1:13" ht="12.75">
      <c r="A92" s="77" t="s">
        <v>78</v>
      </c>
      <c r="B92" s="78" t="s">
        <v>3</v>
      </c>
      <c r="C92" s="79">
        <f>C90/0.5/C91</f>
        <v>2.111111111111111E-07</v>
      </c>
      <c r="D92" s="54" t="s">
        <v>79</v>
      </c>
      <c r="E92" s="77" t="s">
        <v>78</v>
      </c>
      <c r="F92" s="78" t="s">
        <v>3</v>
      </c>
      <c r="G92" s="79">
        <f>G90/0.5/G91</f>
        <v>9.743589743589743E-08</v>
      </c>
      <c r="H92" s="54" t="s">
        <v>79</v>
      </c>
      <c r="M92" s="50">
        <v>4300</v>
      </c>
    </row>
    <row r="93" spans="1:13" ht="12.75">
      <c r="A93" s="19"/>
      <c r="B93" s="4"/>
      <c r="C93" s="53"/>
      <c r="D93" s="54"/>
      <c r="E93" s="19"/>
      <c r="F93" s="4"/>
      <c r="G93" s="53"/>
      <c r="H93" s="54"/>
      <c r="M93" s="50">
        <v>4700</v>
      </c>
    </row>
    <row r="94" spans="3:13" ht="12.75">
      <c r="C94" s="68"/>
      <c r="M94" s="50">
        <v>5100</v>
      </c>
    </row>
    <row r="95" spans="1:13" ht="12.75">
      <c r="A95" s="69" t="s">
        <v>84</v>
      </c>
      <c r="B95" s="69"/>
      <c r="C95" s="70"/>
      <c r="D95" s="69"/>
      <c r="E95" s="69"/>
      <c r="F95" s="69"/>
      <c r="G95" s="69"/>
      <c r="H95" s="69"/>
      <c r="I95" s="84" t="s">
        <v>85</v>
      </c>
      <c r="J95" s="69"/>
      <c r="K95" s="69"/>
      <c r="M95" s="50">
        <v>5600</v>
      </c>
    </row>
    <row r="96" spans="3:13" ht="12.75">
      <c r="C96" s="68"/>
      <c r="M96" s="50">
        <v>6200</v>
      </c>
    </row>
    <row r="97" spans="1:13" ht="12.75">
      <c r="A97" s="85" t="s">
        <v>86</v>
      </c>
      <c r="B97" s="54" t="s">
        <v>3</v>
      </c>
      <c r="C97" s="86">
        <v>7.3</v>
      </c>
      <c r="D97" t="s">
        <v>87</v>
      </c>
      <c r="E97" s="85" t="s">
        <v>88</v>
      </c>
      <c r="F97" s="54" t="s">
        <v>3</v>
      </c>
      <c r="G97" s="101">
        <f>(C104-C101)/(C99+(C101/C105))</f>
        <v>609.1880369538559</v>
      </c>
      <c r="H97" t="s">
        <v>77</v>
      </c>
      <c r="I97" s="99" t="s">
        <v>97</v>
      </c>
      <c r="J97" t="s">
        <v>3</v>
      </c>
      <c r="K97" s="100">
        <f>VLOOKUP(G97,M2:M149,1,1)</f>
        <v>560</v>
      </c>
      <c r="L97" t="s">
        <v>77</v>
      </c>
      <c r="M97" s="50">
        <v>6800</v>
      </c>
    </row>
    <row r="98" spans="1:13" ht="12.75">
      <c r="A98" s="85" t="s">
        <v>89</v>
      </c>
      <c r="B98" s="54" t="s">
        <v>3</v>
      </c>
      <c r="C98" s="86">
        <v>6.7</v>
      </c>
      <c r="D98" t="s">
        <v>87</v>
      </c>
      <c r="E98" s="85" t="s">
        <v>90</v>
      </c>
      <c r="F98" s="54" t="s">
        <v>3</v>
      </c>
      <c r="G98" s="102">
        <f>(C103-C101)/G97-C101/C105</f>
        <v>0.0036566117122065183</v>
      </c>
      <c r="H98" t="s">
        <v>91</v>
      </c>
      <c r="M98" s="50">
        <v>7500</v>
      </c>
    </row>
    <row r="99" spans="1:13" ht="12.75">
      <c r="A99" s="85" t="s">
        <v>92</v>
      </c>
      <c r="B99" s="54" t="s">
        <v>3</v>
      </c>
      <c r="C99" s="88">
        <v>0.003</v>
      </c>
      <c r="D99" t="s">
        <v>91</v>
      </c>
      <c r="G99" s="47"/>
      <c r="M99" s="50">
        <v>8200</v>
      </c>
    </row>
    <row r="100" spans="1:13" ht="12.75">
      <c r="A100" s="85" t="s">
        <v>90</v>
      </c>
      <c r="B100" s="54" t="s">
        <v>3</v>
      </c>
      <c r="C100" s="88">
        <v>0.02</v>
      </c>
      <c r="D100" t="s">
        <v>91</v>
      </c>
      <c r="E100" s="87"/>
      <c r="G100" s="89"/>
      <c r="M100" s="50">
        <v>9100</v>
      </c>
    </row>
    <row r="101" spans="1:13" ht="12.75">
      <c r="A101" s="85" t="s">
        <v>93</v>
      </c>
      <c r="B101" s="54" t="s">
        <v>3</v>
      </c>
      <c r="C101" s="90">
        <v>7</v>
      </c>
      <c r="D101" t="s">
        <v>87</v>
      </c>
      <c r="E101" s="87"/>
      <c r="G101" s="47"/>
      <c r="I101" s="91"/>
      <c r="J101" s="54"/>
      <c r="K101" s="92"/>
      <c r="M101" s="50">
        <v>10000</v>
      </c>
    </row>
    <row r="102" spans="1:13" ht="12.75">
      <c r="A102" s="85" t="s">
        <v>94</v>
      </c>
      <c r="B102" s="54" t="s">
        <v>3</v>
      </c>
      <c r="C102" s="93">
        <v>0.01</v>
      </c>
      <c r="D102" t="s">
        <v>91</v>
      </c>
      <c r="E102" s="87"/>
      <c r="I102" s="91"/>
      <c r="J102" s="54"/>
      <c r="K102" s="54"/>
      <c r="M102" s="50">
        <v>11000</v>
      </c>
    </row>
    <row r="103" spans="1:13" ht="12.75">
      <c r="A103" s="85" t="s">
        <v>95</v>
      </c>
      <c r="B103" s="54" t="s">
        <v>3</v>
      </c>
      <c r="C103" s="93">
        <v>12.2</v>
      </c>
      <c r="M103" s="50">
        <v>12000</v>
      </c>
    </row>
    <row r="104" spans="1:13" ht="12.75">
      <c r="A104" s="85" t="s">
        <v>96</v>
      </c>
      <c r="B104" s="54" t="s">
        <v>3</v>
      </c>
      <c r="C104" s="93">
        <v>11.8</v>
      </c>
      <c r="M104" s="50">
        <v>13000</v>
      </c>
    </row>
    <row r="105" spans="1:13" ht="12.75">
      <c r="A105" s="85" t="s">
        <v>66</v>
      </c>
      <c r="B105" s="54" t="s">
        <v>3</v>
      </c>
      <c r="C105" s="90">
        <f>1/(1/(C39+C40+C41)+1/(C43+C44+C45)+1/(G39+G40+G41)+1/(G43+G44+G45)+1/(K39+K40+K41)+1/(K43+K44+K45))</f>
        <v>1434.6200953430869</v>
      </c>
      <c r="M105" s="50">
        <v>15000</v>
      </c>
    </row>
    <row r="106" ht="12.75">
      <c r="M106" s="50">
        <v>16000</v>
      </c>
    </row>
    <row r="107" ht="12.75">
      <c r="M107" s="50">
        <v>18000</v>
      </c>
    </row>
    <row r="108" ht="12.75">
      <c r="M108" s="50">
        <v>20000</v>
      </c>
    </row>
    <row r="109" ht="12.75">
      <c r="M109" s="50">
        <v>22000</v>
      </c>
    </row>
    <row r="110" ht="12.75">
      <c r="M110" s="50">
        <v>24000</v>
      </c>
    </row>
    <row r="111" ht="12.75">
      <c r="M111" s="50">
        <v>27000</v>
      </c>
    </row>
    <row r="112" ht="12.75">
      <c r="M112" s="50">
        <v>30000</v>
      </c>
    </row>
    <row r="113" ht="12.75">
      <c r="M113" s="50">
        <v>33000</v>
      </c>
    </row>
    <row r="114" ht="12.75">
      <c r="M114" s="50">
        <v>36000</v>
      </c>
    </row>
    <row r="115" ht="12.75">
      <c r="M115" s="50">
        <v>39000</v>
      </c>
    </row>
    <row r="116" ht="12.75">
      <c r="M116" s="50">
        <v>43000</v>
      </c>
    </row>
    <row r="117" ht="12.75">
      <c r="M117" s="50">
        <v>47000</v>
      </c>
    </row>
    <row r="118" ht="12.75">
      <c r="M118" s="50">
        <v>51000</v>
      </c>
    </row>
    <row r="119" ht="12.75">
      <c r="M119" s="50">
        <v>56000</v>
      </c>
    </row>
    <row r="120" ht="12.75">
      <c r="M120" s="50">
        <v>62000</v>
      </c>
    </row>
    <row r="121" ht="12.75">
      <c r="M121" s="50">
        <v>68000</v>
      </c>
    </row>
    <row r="122" ht="12.75">
      <c r="M122" s="50">
        <v>75000</v>
      </c>
    </row>
    <row r="123" ht="12.75">
      <c r="M123" s="50">
        <v>82000</v>
      </c>
    </row>
    <row r="124" ht="12.75">
      <c r="M124" s="50">
        <v>91000</v>
      </c>
    </row>
    <row r="125" ht="12.75">
      <c r="M125" s="50">
        <v>100000</v>
      </c>
    </row>
    <row r="126" ht="12.75">
      <c r="M126" s="50">
        <v>110000</v>
      </c>
    </row>
    <row r="127" ht="12.75">
      <c r="M127" s="50">
        <v>120000</v>
      </c>
    </row>
    <row r="128" ht="12.75">
      <c r="M128" s="50">
        <v>130000</v>
      </c>
    </row>
    <row r="129" ht="12.75">
      <c r="M129" s="50">
        <v>150000</v>
      </c>
    </row>
    <row r="130" ht="12.75">
      <c r="M130" s="50">
        <v>160000</v>
      </c>
    </row>
    <row r="131" ht="12.75">
      <c r="M131" s="50">
        <v>180000</v>
      </c>
    </row>
    <row r="132" ht="12.75">
      <c r="M132" s="50">
        <v>200000</v>
      </c>
    </row>
    <row r="133" ht="12.75">
      <c r="M133" s="50">
        <v>220000</v>
      </c>
    </row>
    <row r="134" ht="12.75">
      <c r="M134" s="50">
        <v>240000</v>
      </c>
    </row>
    <row r="135" ht="12.75">
      <c r="M135" s="50">
        <v>270000</v>
      </c>
    </row>
    <row r="136" ht="12.75">
      <c r="M136" s="50">
        <v>300000</v>
      </c>
    </row>
    <row r="137" ht="12.75">
      <c r="M137" s="50">
        <v>330000</v>
      </c>
    </row>
    <row r="138" ht="12.75">
      <c r="M138" s="50">
        <v>360000</v>
      </c>
    </row>
    <row r="139" ht="12.75">
      <c r="M139" s="50">
        <v>390000</v>
      </c>
    </row>
    <row r="140" ht="12.75">
      <c r="M140" s="50">
        <v>430000</v>
      </c>
    </row>
    <row r="141" ht="12.75">
      <c r="M141" s="50">
        <v>470000</v>
      </c>
    </row>
    <row r="142" ht="12.75">
      <c r="M142" s="50">
        <v>510000</v>
      </c>
    </row>
    <row r="143" ht="12.75">
      <c r="M143" s="50">
        <v>560000</v>
      </c>
    </row>
    <row r="144" ht="12.75">
      <c r="M144" s="50">
        <v>620000</v>
      </c>
    </row>
    <row r="145" ht="12.75">
      <c r="M145" s="50">
        <v>680000</v>
      </c>
    </row>
    <row r="146" ht="12.75">
      <c r="M146" s="50">
        <v>750000</v>
      </c>
    </row>
    <row r="147" ht="12.75">
      <c r="M147" s="50">
        <v>820000</v>
      </c>
    </row>
    <row r="148" ht="12.75">
      <c r="M148" s="50">
        <v>910000</v>
      </c>
    </row>
    <row r="149" ht="12.75">
      <c r="M149" s="50">
        <v>1000000</v>
      </c>
    </row>
  </sheetData>
  <mergeCells count="12">
    <mergeCell ref="A64:C64"/>
    <mergeCell ref="E64:G64"/>
    <mergeCell ref="I64:K64"/>
    <mergeCell ref="A79:K79"/>
    <mergeCell ref="A38:C38"/>
    <mergeCell ref="E38:G38"/>
    <mergeCell ref="I38:K38"/>
    <mergeCell ref="A62:K62"/>
    <mergeCell ref="A13:C13"/>
    <mergeCell ref="E13:G13"/>
    <mergeCell ref="I13:K13"/>
    <mergeCell ref="A36:K36"/>
  </mergeCells>
  <printOptions/>
  <pageMargins left="0.75" right="0.75" top="1" bottom="1" header="0.5" footer="0.5"/>
  <pageSetup orientation="portrait" paperSize="9" r:id="rId3"/>
  <legacyDrawing r:id="rId2"/>
  <oleObjects>
    <oleObject progId="Visio.Drawing.6" shapeId="577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</dc:creator>
  <cp:keywords/>
  <dc:description/>
  <cp:lastModifiedBy>Wlad</cp:lastModifiedBy>
  <dcterms:created xsi:type="dcterms:W3CDTF">2002-12-07T14:51:45Z</dcterms:created>
  <dcterms:modified xsi:type="dcterms:W3CDTF">2003-01-05T21:30:10Z</dcterms:modified>
  <cp:category/>
  <cp:version/>
  <cp:contentType/>
  <cp:contentStatus/>
</cp:coreProperties>
</file>