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75" windowWidth="12120" windowHeight="9120" activeTab="4"/>
  </bookViews>
  <sheets>
    <sheet name="1 и 2" sheetId="1" r:id="rId1"/>
    <sheet name="3" sheetId="2" r:id="rId2"/>
    <sheet name="4" sheetId="3" r:id="rId3"/>
    <sheet name="5 И 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</sheets>
  <definedNames/>
  <calcPr fullCalcOnLoad="1"/>
</workbook>
</file>

<file path=xl/sharedStrings.xml><?xml version="1.0" encoding="utf-8"?>
<sst xmlns="http://schemas.openxmlformats.org/spreadsheetml/2006/main" count="266" uniqueCount="154">
  <si>
    <t>Инвестиционный план</t>
  </si>
  <si>
    <t>№</t>
  </si>
  <si>
    <t>п/п</t>
  </si>
  <si>
    <t>Показатели</t>
  </si>
  <si>
    <t xml:space="preserve">Затраты на приобретение </t>
  </si>
  <si>
    <t>оборудования</t>
  </si>
  <si>
    <t>Монтажные работы</t>
  </si>
  <si>
    <t>Итого затрат по проекту</t>
  </si>
  <si>
    <t>в т.ч. НДС</t>
  </si>
  <si>
    <t>Состав и структура основных средств</t>
  </si>
  <si>
    <t>лет</t>
  </si>
  <si>
    <t>Планируемый срок службы,</t>
  </si>
  <si>
    <t xml:space="preserve">Амортизация (для целей </t>
  </si>
  <si>
    <t>налогообложения)</t>
  </si>
  <si>
    <t>Фактический износ (%),</t>
  </si>
  <si>
    <t>накопительным итогом</t>
  </si>
  <si>
    <t xml:space="preserve">Остаточная балансовая </t>
  </si>
  <si>
    <t>стоимость, тыс. руб.</t>
  </si>
  <si>
    <t>Остаточная фактическая</t>
  </si>
  <si>
    <t>Расчет ликвидационной стоимости в 2007 году</t>
  </si>
  <si>
    <t>Рыночная стоимость</t>
  </si>
  <si>
    <t>Первоначальная балансовая</t>
  </si>
  <si>
    <t>стоимость</t>
  </si>
  <si>
    <t>Начислено амортизации</t>
  </si>
  <si>
    <t>Остаточная балансовая</t>
  </si>
  <si>
    <t>Затраты по ликвидации</t>
  </si>
  <si>
    <t>стоимости</t>
  </si>
  <si>
    <t>Доход / убыток от прироста</t>
  </si>
  <si>
    <t>Операционный доход / убыток</t>
  </si>
  <si>
    <t>Налоги</t>
  </si>
  <si>
    <t>Чистая ликвидационная стоимость</t>
  </si>
  <si>
    <t>Земля</t>
  </si>
  <si>
    <t>Здания</t>
  </si>
  <si>
    <t>Итого</t>
  </si>
  <si>
    <t>План производства и реализации продукции (тыс. руб.)</t>
  </si>
  <si>
    <t>Топливо и энергия с НДС</t>
  </si>
  <si>
    <t>Налог на имущество</t>
  </si>
  <si>
    <t>Амортизация</t>
  </si>
  <si>
    <t>Себестоимость продукции без НДС</t>
  </si>
  <si>
    <t>Цена еденицы продукции с НДС</t>
  </si>
  <si>
    <t>Нематери-альные активы</t>
  </si>
  <si>
    <t>Расчет прироста оборотных активов (НДС к возмещению)</t>
  </si>
  <si>
    <t>НДС к уплате</t>
  </si>
  <si>
    <t>НДС к возмещению</t>
  </si>
  <si>
    <t>Исходящий остаток по НДС</t>
  </si>
  <si>
    <t>Прирост оборотных активов</t>
  </si>
  <si>
    <t>Затраты по производству и реализации продукции без НДС</t>
  </si>
  <si>
    <t>Расходы на производство с НДС, в т.ч.</t>
  </si>
  <si>
    <t>Итого затрат, в т.ч.</t>
  </si>
  <si>
    <t>Выручка от реализации продукции без НДС</t>
  </si>
  <si>
    <t>Производственная себестоимость</t>
  </si>
  <si>
    <t>Налоги в себестоимости</t>
  </si>
  <si>
    <t>Валовая прибыль</t>
  </si>
  <si>
    <t>Налог на прибыль</t>
  </si>
  <si>
    <t>Нераспределенная прибыль / убыток</t>
  </si>
  <si>
    <t>Поток от операционной деятельности</t>
  </si>
  <si>
    <t>Капиталовложения, без НДС</t>
  </si>
  <si>
    <t>Прирост оборотного капитала</t>
  </si>
  <si>
    <t>Ликвидационная стоимость проекта</t>
  </si>
  <si>
    <t>Расходы по ликвидации проекта</t>
  </si>
  <si>
    <t>Сальдо суммарного потока</t>
  </si>
  <si>
    <t>Сальдо нарастающим итогом</t>
  </si>
  <si>
    <t>Поток по финансовой деятельности</t>
  </si>
  <si>
    <t>Поток по инвестиционной деятельности</t>
  </si>
  <si>
    <t>Ед.</t>
  </si>
  <si>
    <t>изм.</t>
  </si>
  <si>
    <t>Балансовыя стоимость</t>
  </si>
  <si>
    <t>Нормативный срок службы</t>
  </si>
  <si>
    <t>Ед.изм.</t>
  </si>
  <si>
    <t>тонн</t>
  </si>
  <si>
    <t xml:space="preserve">Объем производства </t>
  </si>
  <si>
    <t>тыс.руб.</t>
  </si>
  <si>
    <t>Оборудо-вание</t>
  </si>
  <si>
    <t>Общая выручка от реализации с НДС</t>
  </si>
  <si>
    <t xml:space="preserve"> в т.ч. НДС</t>
  </si>
  <si>
    <t xml:space="preserve">         Показатели</t>
  </si>
  <si>
    <t>НДС, уплаченный в бюджет</t>
  </si>
  <si>
    <t>Переменные затраты</t>
  </si>
  <si>
    <t>Постоянные затраты</t>
  </si>
  <si>
    <t>Налог на пользователей автодорог</t>
  </si>
  <si>
    <t>-</t>
  </si>
  <si>
    <t>Расчет показателей эффективности</t>
  </si>
  <si>
    <t>Операционный денежный поток</t>
  </si>
  <si>
    <t>Инвестиционный денежный поток</t>
  </si>
  <si>
    <t>Денежный поток по проекту</t>
  </si>
  <si>
    <t>Денежный поток нарастающим итогом</t>
  </si>
  <si>
    <t>Срок окупаемости</t>
  </si>
  <si>
    <t>Ставка дисконтирования</t>
  </si>
  <si>
    <t>Коэффициент дисконтирования</t>
  </si>
  <si>
    <t>Дисконтированный поток</t>
  </si>
  <si>
    <t>Чистый дисконтированный доход</t>
  </si>
  <si>
    <t>Дисконтированный срок окупаемости</t>
  </si>
  <si>
    <t>Внутренняя норма доходности</t>
  </si>
  <si>
    <t>Дисконтированные инвестиции</t>
  </si>
  <si>
    <t>%</t>
  </si>
  <si>
    <t>НДС к возмещению по основным фондам</t>
  </si>
  <si>
    <t>Сырье с НДС</t>
  </si>
  <si>
    <t>Вспомагательные материалы с НДС</t>
  </si>
  <si>
    <t>З/п упрвленческого персонала</t>
  </si>
  <si>
    <t>ЕСН (по строке 4)</t>
  </si>
  <si>
    <t>Текущие расходы с НДС</t>
  </si>
  <si>
    <t>Заработная плата</t>
  </si>
  <si>
    <t xml:space="preserve">ЕСН </t>
  </si>
  <si>
    <t>№ п/п</t>
  </si>
  <si>
    <t>с</t>
  </si>
  <si>
    <t>в</t>
  </si>
  <si>
    <t>Входящий остаток по НДС к возмещению</t>
  </si>
  <si>
    <t>Ед. изм</t>
  </si>
  <si>
    <t>Прогнозный отчет о движении денежных средств</t>
  </si>
  <si>
    <t>Исходные данные для анализа чувствительности</t>
  </si>
  <si>
    <t>Объем производства, ед. (Q)</t>
  </si>
  <si>
    <t>Цена единицы продукции без НДС (P)</t>
  </si>
  <si>
    <t>Перменные затраты на единицу продукции (Cvar)</t>
  </si>
  <si>
    <t>Маржинальный доход (Mn)</t>
  </si>
  <si>
    <t>Постоянные затраты (Cfix)</t>
  </si>
  <si>
    <t>Ставка налога на прибыль (tax),%</t>
  </si>
  <si>
    <t>Амортизация (D)</t>
  </si>
  <si>
    <t>Дисконтированный операционный поток (CFOdt)</t>
  </si>
  <si>
    <t>Дисконтированный инвестиционный поток (CFIdt)</t>
  </si>
  <si>
    <t>Ликвидационная стоимость (LA)</t>
  </si>
  <si>
    <t>Затраты по ликвидации (LE)</t>
  </si>
  <si>
    <t>Ставка дисконтирования (d)</t>
  </si>
  <si>
    <t>Коэфициент дисконтирования (PVC)</t>
  </si>
  <si>
    <t>Сумма коэфициентов дисконтирования (PVF)</t>
  </si>
  <si>
    <t>Расчет средневзешенных значений показателей</t>
  </si>
  <si>
    <t>Цена единицы продукции (Pa)</t>
  </si>
  <si>
    <t>Переменные затраты на единицу продукции (Cvar a)</t>
  </si>
  <si>
    <t>Маржинальный доход (Mn a)</t>
  </si>
  <si>
    <t>Постоянные затраты (Cfix a)</t>
  </si>
  <si>
    <t>Ставка НП (taxa), %</t>
  </si>
  <si>
    <t>Амортизация (Da)</t>
  </si>
  <si>
    <t>Расчет контрольных показателей</t>
  </si>
  <si>
    <t>Безубыточный объем производства (Qr)</t>
  </si>
  <si>
    <t>Безубыточная цена продукции (Pr)</t>
  </si>
  <si>
    <t>Безубыточные переменные затраты (Cvar r)</t>
  </si>
  <si>
    <t>Безубыточные постоянные затраты (Cfix r)</t>
  </si>
  <si>
    <t>Предельная величина инвестиций (Ir)</t>
  </si>
  <si>
    <t>Максимальная ставка НП (Tr),%</t>
  </si>
  <si>
    <t>Безубыточная ставка дисконтирования (%)</t>
  </si>
  <si>
    <t>Расчет показателя запаса прочности</t>
  </si>
  <si>
    <t>Запас прочности</t>
  </si>
  <si>
    <t>Объем производства, ед.</t>
  </si>
  <si>
    <t>Цена единицы продукции</t>
  </si>
  <si>
    <t>Ставка НП, %</t>
  </si>
  <si>
    <t>Дисконтированный денежный поток по операционной деятельности CFOd t</t>
  </si>
  <si>
    <t>Индекс доходности дисконтированных инвестиций ( InvR )</t>
  </si>
  <si>
    <t>Дисконтированные  притоки (PV gains)</t>
  </si>
  <si>
    <t>Дисконтированные оттоки  (PV exp)</t>
  </si>
  <si>
    <t>Итого:</t>
  </si>
  <si>
    <t>Денежный поток без инвестиций,  реинвестированный по ставке дисконтирования</t>
  </si>
  <si>
    <t>Безубыточные значения</t>
  </si>
  <si>
    <t>Индекс доходности дисконтированных затрат    ( Exp R )</t>
  </si>
  <si>
    <t>Средневзешен-ные значения</t>
  </si>
  <si>
    <t xml:space="preserve">       Таблица 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</si>
</sst>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00"/>
    <numFmt numFmtId="175" formatCode="0.0000"/>
    <numFmt numFmtId="176" formatCode="#,##0.0"/>
    <numFmt numFmtId="177" formatCode="0.0"/>
    <numFmt numFmtId="178" formatCode="#,##0.000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177" fontId="1" fillId="0" borderId="4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4" fontId="1" fillId="0" borderId="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1" fillId="0" borderId="8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176" fontId="1" fillId="0" borderId="10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177" fontId="1" fillId="0" borderId="13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7" fontId="1" fillId="0" borderId="9" xfId="0" applyNumberFormat="1" applyFont="1" applyBorder="1" applyAlignment="1">
      <alignment horizontal="right"/>
    </xf>
    <xf numFmtId="177" fontId="1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177" fontId="1" fillId="0" borderId="1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 horizontal="right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177" fontId="1" fillId="0" borderId="3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9" xfId="0" applyBorder="1" applyAlignment="1">
      <alignment wrapText="1"/>
    </xf>
    <xf numFmtId="0" fontId="4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9" xfId="0" applyNumberFormat="1" applyBorder="1" applyAlignment="1">
      <alignment/>
    </xf>
    <xf numFmtId="3" fontId="0" fillId="0" borderId="3" xfId="0" applyNumberFormat="1" applyBorder="1" applyAlignment="1">
      <alignment/>
    </xf>
    <xf numFmtId="0" fontId="7" fillId="0" borderId="0" xfId="0" applyFont="1" applyAlignment="1">
      <alignment/>
    </xf>
    <xf numFmtId="4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 quotePrefix="1">
      <alignment/>
    </xf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/>
    </xf>
    <xf numFmtId="0" fontId="1" fillId="0" borderId="3" xfId="0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178" fontId="8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1" fillId="0" borderId="9" xfId="0" applyFont="1" applyBorder="1" applyAlignment="1">
      <alignment wrapText="1"/>
    </xf>
    <xf numFmtId="176" fontId="1" fillId="0" borderId="8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0" fillId="0" borderId="9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7" fontId="1" fillId="0" borderId="11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16" sqref="E16"/>
    </sheetView>
  </sheetViews>
  <sheetFormatPr defaultColWidth="9.140625" defaultRowHeight="12.75"/>
  <cols>
    <col min="1" max="1" width="5.57421875" style="1" customWidth="1"/>
    <col min="2" max="2" width="21.57421875" style="1" customWidth="1"/>
    <col min="3" max="3" width="7.57421875" style="1" customWidth="1"/>
    <col min="4" max="5" width="8.00390625" style="1" customWidth="1"/>
    <col min="6" max="6" width="7.57421875" style="1" customWidth="1"/>
    <col min="7" max="8" width="7.00390625" style="1" customWidth="1"/>
    <col min="9" max="9" width="7.421875" style="1" customWidth="1"/>
    <col min="10" max="16384" width="9.140625" style="1" customWidth="1"/>
  </cols>
  <sheetData>
    <row r="1" ht="12.75">
      <c r="A1" s="1" t="s">
        <v>0</v>
      </c>
    </row>
    <row r="2" spans="1:9" ht="12.75">
      <c r="A2" s="2" t="s">
        <v>1</v>
      </c>
      <c r="B2" s="123" t="s">
        <v>3</v>
      </c>
      <c r="C2" s="4" t="s">
        <v>64</v>
      </c>
      <c r="D2" s="5">
        <v>2002</v>
      </c>
      <c r="E2" s="6">
        <v>2003</v>
      </c>
      <c r="F2" s="5">
        <v>2004</v>
      </c>
      <c r="G2" s="6">
        <v>2005</v>
      </c>
      <c r="H2" s="5">
        <v>2006</v>
      </c>
      <c r="I2" s="6">
        <v>2007</v>
      </c>
    </row>
    <row r="3" spans="1:9" ht="12.75">
      <c r="A3" s="7" t="s">
        <v>2</v>
      </c>
      <c r="B3" s="124"/>
      <c r="C3" s="8" t="s">
        <v>65</v>
      </c>
      <c r="D3" s="9">
        <v>0</v>
      </c>
      <c r="E3" s="10">
        <v>1</v>
      </c>
      <c r="F3" s="9">
        <v>2</v>
      </c>
      <c r="G3" s="10">
        <v>3</v>
      </c>
      <c r="H3" s="9">
        <v>4</v>
      </c>
      <c r="I3" s="10">
        <v>5</v>
      </c>
    </row>
    <row r="4" spans="1:9" ht="12.75">
      <c r="A4" s="121">
        <v>1</v>
      </c>
      <c r="B4" s="12" t="s">
        <v>4</v>
      </c>
      <c r="C4" s="12"/>
      <c r="D4" s="13"/>
      <c r="E4" s="14"/>
      <c r="F4" s="15"/>
      <c r="G4" s="9"/>
      <c r="H4" s="15"/>
      <c r="I4" s="9"/>
    </row>
    <row r="5" spans="1:9" ht="12.75">
      <c r="A5" s="122"/>
      <c r="B5" s="16" t="s">
        <v>5</v>
      </c>
      <c r="C5" s="16" t="s">
        <v>71</v>
      </c>
      <c r="D5" s="17">
        <v>17500</v>
      </c>
      <c r="E5" s="18"/>
      <c r="F5" s="19"/>
      <c r="G5" s="16"/>
      <c r="H5" s="19"/>
      <c r="I5" s="16"/>
    </row>
    <row r="6" spans="1:9" ht="12.75">
      <c r="A6" s="7">
        <v>2</v>
      </c>
      <c r="B6" s="20" t="s">
        <v>6</v>
      </c>
      <c r="C6" s="16" t="s">
        <v>71</v>
      </c>
      <c r="D6" s="21"/>
      <c r="E6" s="18">
        <v>17500</v>
      </c>
      <c r="F6" s="16"/>
      <c r="G6" s="16"/>
      <c r="H6" s="16"/>
      <c r="I6" s="16"/>
    </row>
    <row r="7" spans="1:9" ht="12.75">
      <c r="A7" s="5">
        <v>3</v>
      </c>
      <c r="B7" s="22" t="s">
        <v>7</v>
      </c>
      <c r="C7" s="16" t="s">
        <v>71</v>
      </c>
      <c r="D7" s="17">
        <v>17500</v>
      </c>
      <c r="E7" s="5">
        <v>17500</v>
      </c>
      <c r="F7" s="22"/>
      <c r="G7" s="22"/>
      <c r="H7" s="22"/>
      <c r="I7" s="22"/>
    </row>
    <row r="8" spans="1:9" ht="12.75">
      <c r="A8" s="23">
        <v>4</v>
      </c>
      <c r="B8" s="16" t="s">
        <v>8</v>
      </c>
      <c r="C8" s="16" t="s">
        <v>71</v>
      </c>
      <c r="D8" s="28">
        <f>D7/6</f>
        <v>2916.6666666666665</v>
      </c>
      <c r="E8" s="28">
        <f>E7/6</f>
        <v>2916.6666666666665</v>
      </c>
      <c r="F8" s="22"/>
      <c r="G8" s="22"/>
      <c r="H8" s="22"/>
      <c r="I8" s="22"/>
    </row>
    <row r="9" ht="12.75">
      <c r="A9" s="1" t="s">
        <v>9</v>
      </c>
    </row>
    <row r="10" spans="1:9" ht="12.75">
      <c r="A10" s="2" t="s">
        <v>1</v>
      </c>
      <c r="B10" s="123" t="s">
        <v>3</v>
      </c>
      <c r="C10" s="4" t="s">
        <v>64</v>
      </c>
      <c r="D10" s="5">
        <v>2002</v>
      </c>
      <c r="E10" s="6">
        <v>2003</v>
      </c>
      <c r="F10" s="5">
        <v>2004</v>
      </c>
      <c r="G10" s="6">
        <v>2005</v>
      </c>
      <c r="H10" s="5">
        <v>2006</v>
      </c>
      <c r="I10" s="6">
        <v>2007</v>
      </c>
    </row>
    <row r="11" spans="1:9" ht="12.75">
      <c r="A11" s="7" t="s">
        <v>2</v>
      </c>
      <c r="B11" s="109"/>
      <c r="C11" s="25" t="s">
        <v>65</v>
      </c>
      <c r="D11" s="9">
        <v>0</v>
      </c>
      <c r="E11" s="10">
        <v>1</v>
      </c>
      <c r="F11" s="9">
        <v>2</v>
      </c>
      <c r="G11" s="10">
        <v>3</v>
      </c>
      <c r="H11" s="9">
        <v>4</v>
      </c>
      <c r="I11" s="10">
        <v>5</v>
      </c>
    </row>
    <row r="12" spans="1:9" ht="12.75">
      <c r="A12" s="11">
        <v>1</v>
      </c>
      <c r="B12" s="12" t="s">
        <v>66</v>
      </c>
      <c r="C12" s="16" t="s">
        <v>71</v>
      </c>
      <c r="D12" s="2"/>
      <c r="E12" s="29">
        <v>29167</v>
      </c>
      <c r="F12" s="30">
        <f>E12-E16</f>
        <v>27708.65</v>
      </c>
      <c r="G12" s="29">
        <f>F12-F16</f>
        <v>24791.95</v>
      </c>
      <c r="H12" s="29">
        <f>G12-G16</f>
        <v>21875.25</v>
      </c>
      <c r="I12" s="29">
        <f>H12-H16</f>
        <v>18958.55</v>
      </c>
    </row>
    <row r="13" spans="1:9" ht="12.75">
      <c r="A13" s="11">
        <v>2</v>
      </c>
      <c r="B13" s="12" t="s">
        <v>67</v>
      </c>
      <c r="C13" s="18" t="s">
        <v>10</v>
      </c>
      <c r="D13" s="26"/>
      <c r="E13" s="29">
        <v>10</v>
      </c>
      <c r="F13" s="30"/>
      <c r="G13" s="29"/>
      <c r="H13" s="30"/>
      <c r="I13" s="29"/>
    </row>
    <row r="14" spans="1:9" ht="12.75">
      <c r="A14" s="11">
        <v>3</v>
      </c>
      <c r="B14" s="12" t="s">
        <v>11</v>
      </c>
      <c r="C14" s="18" t="s">
        <v>10</v>
      </c>
      <c r="D14" s="26"/>
      <c r="E14" s="29">
        <v>8</v>
      </c>
      <c r="F14" s="30"/>
      <c r="G14" s="29"/>
      <c r="H14" s="30"/>
      <c r="I14" s="29"/>
    </row>
    <row r="15" spans="1:9" ht="12.75">
      <c r="A15" s="121">
        <v>4</v>
      </c>
      <c r="B15" s="12" t="s">
        <v>12</v>
      </c>
      <c r="C15" s="26"/>
      <c r="D15" s="26"/>
      <c r="E15" s="29"/>
      <c r="F15" s="30"/>
      <c r="G15" s="29"/>
      <c r="H15" s="30"/>
      <c r="I15" s="29"/>
    </row>
    <row r="16" spans="1:9" ht="12.75">
      <c r="A16" s="122"/>
      <c r="B16" s="16" t="s">
        <v>13</v>
      </c>
      <c r="C16" s="16" t="s">
        <v>71</v>
      </c>
      <c r="D16" s="27"/>
      <c r="E16" s="31">
        <f>$E$12/10/2</f>
        <v>1458.35</v>
      </c>
      <c r="F16" s="31">
        <f>$E$12/10</f>
        <v>2916.7</v>
      </c>
      <c r="G16" s="31">
        <f>$E$12/10</f>
        <v>2916.7</v>
      </c>
      <c r="H16" s="31">
        <f>$E$12/10</f>
        <v>2916.7</v>
      </c>
      <c r="I16" s="31">
        <f>$E$12/10</f>
        <v>2916.7</v>
      </c>
    </row>
    <row r="17" spans="1:9" ht="12.75">
      <c r="A17" s="121">
        <v>5</v>
      </c>
      <c r="B17" s="12" t="s">
        <v>14</v>
      </c>
      <c r="C17" s="26"/>
      <c r="D17" s="26"/>
      <c r="E17" s="29"/>
      <c r="F17" s="30"/>
      <c r="G17" s="29"/>
      <c r="H17" s="30"/>
      <c r="I17" s="29"/>
    </row>
    <row r="18" spans="1:9" ht="12.75">
      <c r="A18" s="122"/>
      <c r="B18" s="16" t="s">
        <v>15</v>
      </c>
      <c r="C18" s="16" t="s">
        <v>71</v>
      </c>
      <c r="D18" s="27"/>
      <c r="E18" s="31">
        <f>(E12/8/2)/E12*100</f>
        <v>6.25</v>
      </c>
      <c r="F18" s="32">
        <f>E18+($E$12/8)/$E$12*100</f>
        <v>18.75</v>
      </c>
      <c r="G18" s="31">
        <f>F18+($E$12/8)/$E$12*100</f>
        <v>31.25</v>
      </c>
      <c r="H18" s="32">
        <f>G18+($E$12/8)/$E$12*100</f>
        <v>43.75</v>
      </c>
      <c r="I18" s="31">
        <f>H18+($E$12/8)/$E$12*100</f>
        <v>56.25</v>
      </c>
    </row>
    <row r="19" spans="1:9" ht="12.75">
      <c r="A19" s="121">
        <v>6</v>
      </c>
      <c r="B19" s="12" t="s">
        <v>16</v>
      </c>
      <c r="C19" s="26"/>
      <c r="D19" s="26"/>
      <c r="E19" s="29"/>
      <c r="F19" s="30"/>
      <c r="G19" s="29"/>
      <c r="H19" s="30"/>
      <c r="I19" s="29"/>
    </row>
    <row r="20" spans="1:9" ht="12.75">
      <c r="A20" s="122"/>
      <c r="B20" s="16" t="s">
        <v>17</v>
      </c>
      <c r="C20" s="16" t="s">
        <v>71</v>
      </c>
      <c r="D20" s="27"/>
      <c r="E20" s="31">
        <f>E12-E16</f>
        <v>27708.65</v>
      </c>
      <c r="F20" s="32">
        <f>E20-F16</f>
        <v>24791.95</v>
      </c>
      <c r="G20" s="31">
        <f>F20-G16</f>
        <v>21875.25</v>
      </c>
      <c r="H20" s="32">
        <f>G20-H16</f>
        <v>18958.55</v>
      </c>
      <c r="I20" s="31">
        <f>H20-I16</f>
        <v>16041.849999999999</v>
      </c>
    </row>
    <row r="21" spans="1:9" ht="12.75">
      <c r="A21" s="119">
        <v>7</v>
      </c>
      <c r="B21" s="12" t="s">
        <v>18</v>
      </c>
      <c r="C21" s="12"/>
      <c r="D21" s="26"/>
      <c r="E21" s="29"/>
      <c r="F21" s="30"/>
      <c r="G21" s="29"/>
      <c r="H21" s="30"/>
      <c r="I21" s="29"/>
    </row>
    <row r="22" spans="1:9" ht="12.75">
      <c r="A22" s="120"/>
      <c r="B22" s="16" t="s">
        <v>17</v>
      </c>
      <c r="C22" s="16" t="s">
        <v>71</v>
      </c>
      <c r="D22" s="27"/>
      <c r="E22" s="31">
        <f>$E$12-$E$12*E18/100</f>
        <v>27344.0625</v>
      </c>
      <c r="F22" s="31">
        <f>$E$12-$E$12*F18/100</f>
        <v>23698.1875</v>
      </c>
      <c r="G22" s="31">
        <f>$E$12-$E$12*G18/100</f>
        <v>20052.3125</v>
      </c>
      <c r="H22" s="31">
        <f>$E$12-$E$12*H18/100</f>
        <v>16406.4375</v>
      </c>
      <c r="I22" s="31">
        <f>$E$12-$E$12*I18/100</f>
        <v>12760.5625</v>
      </c>
    </row>
  </sheetData>
  <mergeCells count="7">
    <mergeCell ref="A21:A22"/>
    <mergeCell ref="A15:A16"/>
    <mergeCell ref="A17:A18"/>
    <mergeCell ref="B2:B3"/>
    <mergeCell ref="A4:A5"/>
    <mergeCell ref="B10:B11"/>
    <mergeCell ref="A19:A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3" sqref="E3:E9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4" width="17.28125" style="0" customWidth="1"/>
    <col min="5" max="5" width="16.00390625" style="0" customWidth="1"/>
    <col min="6" max="6" width="18.8515625" style="0" customWidth="1"/>
  </cols>
  <sheetData>
    <row r="1" ht="12.75">
      <c r="A1" s="80" t="s">
        <v>139</v>
      </c>
    </row>
    <row r="2" spans="1:6" ht="30">
      <c r="A2" s="104"/>
      <c r="B2" s="104" t="s">
        <v>3</v>
      </c>
      <c r="C2" s="104" t="s">
        <v>150</v>
      </c>
      <c r="D2" s="104" t="s">
        <v>152</v>
      </c>
      <c r="E2" s="104" t="s">
        <v>140</v>
      </c>
      <c r="F2" s="88"/>
    </row>
    <row r="3" spans="1:6" ht="15">
      <c r="A3" s="104">
        <v>1</v>
      </c>
      <c r="B3" s="104" t="s">
        <v>141</v>
      </c>
      <c r="C3" s="107">
        <f>'11'!C3</f>
        <v>894.9221787315074</v>
      </c>
      <c r="D3" s="107">
        <f>'10'!I4</f>
        <v>1084.5629980593746</v>
      </c>
      <c r="E3" s="108">
        <f>(D3-'11'!C3)/'12'!D3</f>
        <v>0.1748545908971581</v>
      </c>
      <c r="F3" s="88"/>
    </row>
    <row r="4" spans="1:6" ht="15">
      <c r="A4" s="104">
        <v>2</v>
      </c>
      <c r="B4" s="104" t="s">
        <v>142</v>
      </c>
      <c r="C4" s="107">
        <f>'11'!C4</f>
        <v>58.831704627421416</v>
      </c>
      <c r="D4" s="107">
        <f>'10'!I5</f>
        <v>60.84578768505902</v>
      </c>
      <c r="E4" s="108">
        <f>(D4-'11'!C4)/'12'!D4</f>
        <v>0.033101437819534944</v>
      </c>
      <c r="F4" s="88"/>
    </row>
    <row r="5" spans="1:6" ht="30">
      <c r="A5" s="104">
        <v>3</v>
      </c>
      <c r="B5" s="104" t="s">
        <v>126</v>
      </c>
      <c r="C5" s="107">
        <f>'11'!C5</f>
        <v>56.86333599676473</v>
      </c>
      <c r="D5" s="107">
        <f>'10'!I6</f>
        <v>49.327170717076754</v>
      </c>
      <c r="E5" s="108">
        <f>('11'!C5-'12'!D5)/'12'!D5</f>
        <v>0.15277919187607095</v>
      </c>
      <c r="F5" s="88"/>
    </row>
    <row r="6" spans="1:6" ht="15">
      <c r="A6" s="104">
        <v>4</v>
      </c>
      <c r="B6" s="104" t="s">
        <v>78</v>
      </c>
      <c r="C6" s="107">
        <f>'11'!C6</f>
        <v>5178.922984470697</v>
      </c>
      <c r="D6" s="107">
        <f>'10'!I8</f>
        <v>2994.523025138665</v>
      </c>
      <c r="E6" s="108">
        <f>('11'!C6-'12'!D6)/'12'!D6</f>
        <v>0.7294650737343655</v>
      </c>
      <c r="F6" s="88"/>
    </row>
    <row r="7" spans="1:6" ht="15">
      <c r="A7" s="104">
        <v>5</v>
      </c>
      <c r="B7" s="104" t="s">
        <v>143</v>
      </c>
      <c r="C7" s="107">
        <f>'11'!C8</f>
        <v>41.47861678627171</v>
      </c>
      <c r="D7" s="107">
        <v>24</v>
      </c>
      <c r="E7" s="108">
        <f>('11'!C8-'12'!D7)/'12'!D7</f>
        <v>0.7282756994279879</v>
      </c>
      <c r="F7" s="88"/>
    </row>
    <row r="8" spans="1:6" ht="15">
      <c r="A8" s="104">
        <v>6</v>
      </c>
      <c r="B8" s="104" t="s">
        <v>87</v>
      </c>
      <c r="C8" s="107">
        <f>'11'!C9</f>
        <v>28.93</v>
      </c>
      <c r="D8" s="107">
        <f>8!D9</f>
        <v>20</v>
      </c>
      <c r="E8" s="108">
        <f>('11'!C9-'12'!D8)/'12'!D8</f>
        <v>0.4465</v>
      </c>
      <c r="F8" s="88"/>
    </row>
    <row r="9" spans="1:6" ht="15">
      <c r="A9" s="104">
        <v>7</v>
      </c>
      <c r="B9" s="104" t="s">
        <v>93</v>
      </c>
      <c r="C9" s="107">
        <f>'11'!C7</f>
        <v>149891.84333566207</v>
      </c>
      <c r="D9" s="107">
        <f>8!J15</f>
        <v>32083.333333333336</v>
      </c>
      <c r="E9" s="108">
        <f>('11'!C7-'12'!D9)/'12'!D9</f>
        <v>3.671953558514142</v>
      </c>
      <c r="F9" s="8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24" sqref="F24"/>
    </sheetView>
  </sheetViews>
  <sheetFormatPr defaultColWidth="9.140625" defaultRowHeight="12.75"/>
  <cols>
    <col min="1" max="1" width="4.140625" style="1" customWidth="1"/>
    <col min="2" max="2" width="28.57421875" style="1" customWidth="1"/>
    <col min="3" max="3" width="7.8515625" style="1" customWidth="1"/>
    <col min="4" max="4" width="8.7109375" style="1" customWidth="1"/>
    <col min="5" max="5" width="9.00390625" style="1" customWidth="1"/>
    <col min="6" max="7" width="10.00390625" style="1" customWidth="1"/>
    <col min="8" max="8" width="9.57421875" style="1" customWidth="1"/>
    <col min="9" max="16384" width="28.57421875" style="1" customWidth="1"/>
  </cols>
  <sheetData>
    <row r="1" ht="12.75">
      <c r="A1" s="1" t="s">
        <v>19</v>
      </c>
    </row>
    <row r="2" spans="1:9" ht="12.75">
      <c r="A2" s="130" t="s">
        <v>103</v>
      </c>
      <c r="B2" s="117" t="s">
        <v>3</v>
      </c>
      <c r="C2" s="123" t="s">
        <v>68</v>
      </c>
      <c r="D2" s="119" t="s">
        <v>31</v>
      </c>
      <c r="E2" s="125" t="s">
        <v>32</v>
      </c>
      <c r="F2" s="111" t="s">
        <v>72</v>
      </c>
      <c r="G2" s="114" t="s">
        <v>40</v>
      </c>
      <c r="H2" s="119" t="s">
        <v>33</v>
      </c>
      <c r="I2" s="34"/>
    </row>
    <row r="3" spans="1:9" ht="12.75">
      <c r="A3" s="131"/>
      <c r="B3" s="101"/>
      <c r="C3" s="128"/>
      <c r="D3" s="110"/>
      <c r="E3" s="126"/>
      <c r="F3" s="112"/>
      <c r="G3" s="115"/>
      <c r="H3" s="110"/>
      <c r="I3" s="34"/>
    </row>
    <row r="4" spans="1:9" ht="12.75">
      <c r="A4" s="132"/>
      <c r="B4" s="102"/>
      <c r="C4" s="129"/>
      <c r="D4" s="120"/>
      <c r="E4" s="127"/>
      <c r="F4" s="113"/>
      <c r="G4" s="116"/>
      <c r="H4" s="120"/>
      <c r="I4" s="34"/>
    </row>
    <row r="5" spans="1:8" ht="12.75">
      <c r="A5" s="5">
        <v>1</v>
      </c>
      <c r="B5" s="37" t="s">
        <v>20</v>
      </c>
      <c r="C5" s="18" t="s">
        <v>71</v>
      </c>
      <c r="D5" s="22"/>
      <c r="E5" s="37"/>
      <c r="F5" s="38">
        <f>'1 и 2'!I22</f>
        <v>12760.5625</v>
      </c>
      <c r="G5" s="39"/>
      <c r="H5" s="38">
        <v>12760.5625</v>
      </c>
    </row>
    <row r="6" spans="1:8" ht="12.75">
      <c r="A6" s="119">
        <v>2</v>
      </c>
      <c r="B6" s="40" t="s">
        <v>21</v>
      </c>
      <c r="C6" s="9"/>
      <c r="D6" s="12"/>
      <c r="E6" s="40"/>
      <c r="F6" s="41"/>
      <c r="G6" s="42"/>
      <c r="H6" s="41"/>
    </row>
    <row r="7" spans="1:8" ht="12.75">
      <c r="A7" s="120"/>
      <c r="B7" s="19" t="s">
        <v>22</v>
      </c>
      <c r="C7" s="18" t="s">
        <v>71</v>
      </c>
      <c r="D7" s="16"/>
      <c r="E7" s="19"/>
      <c r="F7" s="43">
        <v>29167</v>
      </c>
      <c r="G7" s="44"/>
      <c r="H7" s="43">
        <v>29167</v>
      </c>
    </row>
    <row r="8" spans="1:8" ht="12.75">
      <c r="A8" s="5">
        <v>3</v>
      </c>
      <c r="B8" s="37" t="s">
        <v>23</v>
      </c>
      <c r="C8" s="18" t="s">
        <v>71</v>
      </c>
      <c r="D8" s="22"/>
      <c r="E8" s="37"/>
      <c r="F8" s="38">
        <f>'1 и 2'!E16+'1 и 2'!F16+'1 и 2'!G16+'1 и 2'!H16+'1 и 2'!I16</f>
        <v>13125.149999999998</v>
      </c>
      <c r="G8" s="39"/>
      <c r="H8" s="38">
        <v>13125.15</v>
      </c>
    </row>
    <row r="9" spans="1:8" ht="12.75">
      <c r="A9" s="119">
        <v>4</v>
      </c>
      <c r="B9" s="40" t="s">
        <v>24</v>
      </c>
      <c r="C9" s="9"/>
      <c r="D9" s="12"/>
      <c r="E9" s="40"/>
      <c r="F9" s="41"/>
      <c r="G9" s="42"/>
      <c r="H9" s="41"/>
    </row>
    <row r="10" spans="1:8" ht="12.75">
      <c r="A10" s="120"/>
      <c r="B10" s="19" t="s">
        <v>22</v>
      </c>
      <c r="C10" s="18" t="s">
        <v>71</v>
      </c>
      <c r="D10" s="16"/>
      <c r="E10" s="19"/>
      <c r="F10" s="43">
        <f>F7-F8</f>
        <v>16041.850000000002</v>
      </c>
      <c r="G10" s="44"/>
      <c r="H10" s="43">
        <v>16041.85</v>
      </c>
    </row>
    <row r="11" spans="1:8" ht="12.75">
      <c r="A11" s="5">
        <v>5</v>
      </c>
      <c r="B11" s="37" t="s">
        <v>25</v>
      </c>
      <c r="C11" s="18" t="s">
        <v>71</v>
      </c>
      <c r="D11" s="22"/>
      <c r="E11" s="37"/>
      <c r="F11" s="38">
        <f>F10*0.27</f>
        <v>4331.299500000001</v>
      </c>
      <c r="G11" s="39"/>
      <c r="H11" s="38">
        <v>4331.299500000001</v>
      </c>
    </row>
    <row r="12" spans="1:8" ht="12.75">
      <c r="A12" s="119">
        <v>6</v>
      </c>
      <c r="B12" s="40" t="s">
        <v>27</v>
      </c>
      <c r="C12" s="9"/>
      <c r="D12" s="12"/>
      <c r="E12" s="40"/>
      <c r="F12" s="41"/>
      <c r="G12" s="42"/>
      <c r="H12" s="41"/>
    </row>
    <row r="13" spans="1:8" ht="12.75">
      <c r="A13" s="120"/>
      <c r="B13" s="19" t="s">
        <v>26</v>
      </c>
      <c r="C13" s="18" t="s">
        <v>71</v>
      </c>
      <c r="D13" s="16"/>
      <c r="E13" s="19"/>
      <c r="F13" s="43">
        <f>F5-F10</f>
        <v>-3281.287500000002</v>
      </c>
      <c r="G13" s="44"/>
      <c r="H13" s="43">
        <v>-3281.287500000002</v>
      </c>
    </row>
    <row r="14" spans="1:8" ht="12.75">
      <c r="A14" s="5">
        <v>7</v>
      </c>
      <c r="B14" s="37" t="s">
        <v>28</v>
      </c>
      <c r="C14" s="18" t="s">
        <v>71</v>
      </c>
      <c r="D14" s="22"/>
      <c r="E14" s="37"/>
      <c r="F14" s="38">
        <f>F13-F11</f>
        <v>-7612.587000000003</v>
      </c>
      <c r="G14" s="39"/>
      <c r="H14" s="38">
        <v>-7612.587000000003</v>
      </c>
    </row>
    <row r="15" spans="1:8" ht="12.75">
      <c r="A15" s="5">
        <v>8</v>
      </c>
      <c r="B15" s="37" t="s">
        <v>29</v>
      </c>
      <c r="C15" s="18" t="s">
        <v>71</v>
      </c>
      <c r="D15" s="22"/>
      <c r="E15" s="37"/>
      <c r="F15" s="38">
        <v>0</v>
      </c>
      <c r="G15" s="39"/>
      <c r="H15" s="38">
        <v>0</v>
      </c>
    </row>
    <row r="16" spans="1:8" ht="12.75">
      <c r="A16" s="5">
        <v>9</v>
      </c>
      <c r="B16" s="37" t="s">
        <v>30</v>
      </c>
      <c r="C16" s="18" t="s">
        <v>71</v>
      </c>
      <c r="D16" s="22"/>
      <c r="E16" s="37"/>
      <c r="F16" s="38">
        <f>F5</f>
        <v>12760.5625</v>
      </c>
      <c r="G16" s="39"/>
      <c r="H16" s="38">
        <v>12760.5625</v>
      </c>
    </row>
  </sheetData>
  <mergeCells count="11">
    <mergeCell ref="A2:A4"/>
    <mergeCell ref="A6:A7"/>
    <mergeCell ref="A9:A10"/>
    <mergeCell ref="A12:A13"/>
    <mergeCell ref="H2:H4"/>
    <mergeCell ref="F2:F4"/>
    <mergeCell ref="G2:G4"/>
    <mergeCell ref="B2:B4"/>
    <mergeCell ref="D2:D4"/>
    <mergeCell ref="E2:E4"/>
    <mergeCell ref="C2:C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D17" sqref="D17"/>
    </sheetView>
  </sheetViews>
  <sheetFormatPr defaultColWidth="9.140625" defaultRowHeight="12.75"/>
  <cols>
    <col min="1" max="1" width="3.8515625" style="1" customWidth="1"/>
    <col min="2" max="2" width="30.57421875" style="1" customWidth="1"/>
    <col min="3" max="3" width="7.28125" style="1" customWidth="1"/>
    <col min="4" max="4" width="6.140625" style="1" customWidth="1"/>
    <col min="5" max="5" width="7.7109375" style="45" customWidth="1"/>
    <col min="6" max="6" width="8.140625" style="45" customWidth="1"/>
    <col min="7" max="7" width="7.7109375" style="45" customWidth="1"/>
    <col min="8" max="8" width="7.421875" style="45" customWidth="1"/>
    <col min="9" max="9" width="7.8515625" style="45" customWidth="1"/>
    <col min="10" max="16384" width="9.140625" style="1" customWidth="1"/>
  </cols>
  <sheetData>
    <row r="1" ht="12.75">
      <c r="A1" s="1" t="s">
        <v>34</v>
      </c>
    </row>
    <row r="2" spans="1:9" ht="15" customHeight="1">
      <c r="A2" s="2" t="s">
        <v>1</v>
      </c>
      <c r="B2" s="123" t="s">
        <v>75</v>
      </c>
      <c r="C2" s="4" t="s">
        <v>64</v>
      </c>
      <c r="D2" s="5">
        <v>2002</v>
      </c>
      <c r="E2" s="6">
        <v>2003</v>
      </c>
      <c r="F2" s="5">
        <v>2004</v>
      </c>
      <c r="G2" s="6">
        <v>2005</v>
      </c>
      <c r="H2" s="5">
        <v>2006</v>
      </c>
      <c r="I2" s="6">
        <v>2007</v>
      </c>
    </row>
    <row r="3" spans="1:9" ht="15" customHeight="1">
      <c r="A3" s="23" t="s">
        <v>2</v>
      </c>
      <c r="B3" s="124"/>
      <c r="C3" s="25" t="s">
        <v>65</v>
      </c>
      <c r="D3" s="5">
        <v>0</v>
      </c>
      <c r="E3" s="6">
        <v>1</v>
      </c>
      <c r="F3" s="5">
        <v>2</v>
      </c>
      <c r="G3" s="6">
        <v>3</v>
      </c>
      <c r="H3" s="5">
        <v>4</v>
      </c>
      <c r="I3" s="6">
        <v>5</v>
      </c>
    </row>
    <row r="4" spans="1:9" ht="15" customHeight="1">
      <c r="A4" s="46">
        <v>1</v>
      </c>
      <c r="B4" s="22" t="s">
        <v>70</v>
      </c>
      <c r="C4" s="5" t="s">
        <v>69</v>
      </c>
      <c r="D4" s="59">
        <v>0</v>
      </c>
      <c r="E4" s="47">
        <v>620</v>
      </c>
      <c r="F4" s="48">
        <v>1200</v>
      </c>
      <c r="G4" s="47">
        <v>1250</v>
      </c>
      <c r="H4" s="48">
        <v>1300</v>
      </c>
      <c r="I4" s="47">
        <v>1350</v>
      </c>
    </row>
    <row r="5" spans="1:9" ht="15" customHeight="1">
      <c r="A5" s="2">
        <v>2</v>
      </c>
      <c r="B5" s="12" t="s">
        <v>47</v>
      </c>
      <c r="C5" s="12" t="s">
        <v>71</v>
      </c>
      <c r="D5" s="60">
        <v>0</v>
      </c>
      <c r="E5" s="49">
        <f>SUM(E7:E15)</f>
        <v>38608.273166666666</v>
      </c>
      <c r="F5" s="49">
        <f>SUM(F7:F15)</f>
        <v>67911.746</v>
      </c>
      <c r="G5" s="49">
        <f>SUM(G7:G15)</f>
        <v>70337.40866666667</v>
      </c>
      <c r="H5" s="49">
        <f>SUM(H7:H15)</f>
        <v>72783.07133333333</v>
      </c>
      <c r="I5" s="49">
        <f>SUM(I7:I15)</f>
        <v>75255.514</v>
      </c>
    </row>
    <row r="6" spans="1:9" ht="15" customHeight="1">
      <c r="A6" s="9"/>
      <c r="B6" s="50"/>
      <c r="C6" s="26"/>
      <c r="D6" s="61"/>
      <c r="E6" s="51"/>
      <c r="F6" s="52"/>
      <c r="G6" s="51"/>
      <c r="H6" s="52"/>
      <c r="I6" s="53"/>
    </row>
    <row r="7" spans="1:9" ht="15" customHeight="1">
      <c r="A7" s="18"/>
      <c r="B7" s="54" t="s">
        <v>101</v>
      </c>
      <c r="C7" s="27" t="s">
        <v>71</v>
      </c>
      <c r="D7" s="62">
        <v>0</v>
      </c>
      <c r="E7" s="55">
        <v>750</v>
      </c>
      <c r="F7" s="56">
        <v>1340</v>
      </c>
      <c r="G7" s="55">
        <v>1395</v>
      </c>
      <c r="H7" s="56">
        <v>1450</v>
      </c>
      <c r="I7" s="57">
        <v>1510</v>
      </c>
    </row>
    <row r="8" spans="1:9" ht="15" customHeight="1">
      <c r="A8" s="23"/>
      <c r="B8" s="54" t="s">
        <v>102</v>
      </c>
      <c r="C8" s="16" t="s">
        <v>71</v>
      </c>
      <c r="D8" s="63">
        <v>0</v>
      </c>
      <c r="E8" s="56">
        <f>E7*0.356</f>
        <v>267</v>
      </c>
      <c r="F8" s="56">
        <f>F7*0.356</f>
        <v>477.03999999999996</v>
      </c>
      <c r="G8" s="56">
        <f>G7*0.356</f>
        <v>496.62</v>
      </c>
      <c r="H8" s="56">
        <f>H7*0.356</f>
        <v>516.1999999999999</v>
      </c>
      <c r="I8" s="56">
        <f>I7*0.356</f>
        <v>537.56</v>
      </c>
    </row>
    <row r="9" spans="1:9" ht="15" customHeight="1">
      <c r="A9" s="46"/>
      <c r="B9" s="58" t="s">
        <v>100</v>
      </c>
      <c r="C9" s="22" t="s">
        <v>71</v>
      </c>
      <c r="D9" s="59">
        <v>0</v>
      </c>
      <c r="E9" s="47">
        <v>4100</v>
      </c>
      <c r="F9" s="48">
        <v>7290</v>
      </c>
      <c r="G9" s="47">
        <v>7380</v>
      </c>
      <c r="H9" s="48">
        <v>7475</v>
      </c>
      <c r="I9" s="47">
        <v>7574</v>
      </c>
    </row>
    <row r="10" spans="1:9" ht="15" customHeight="1">
      <c r="A10" s="46"/>
      <c r="B10" s="58" t="s">
        <v>35</v>
      </c>
      <c r="C10" s="22" t="s">
        <v>71</v>
      </c>
      <c r="D10" s="59">
        <v>0</v>
      </c>
      <c r="E10" s="47">
        <v>1760</v>
      </c>
      <c r="F10" s="48">
        <v>3340</v>
      </c>
      <c r="G10" s="47">
        <v>3480</v>
      </c>
      <c r="H10" s="48">
        <v>3630</v>
      </c>
      <c r="I10" s="47">
        <v>3785</v>
      </c>
    </row>
    <row r="11" spans="1:9" ht="15" customHeight="1">
      <c r="A11" s="46"/>
      <c r="B11" s="58" t="s">
        <v>96</v>
      </c>
      <c r="C11" s="22" t="s">
        <v>71</v>
      </c>
      <c r="D11" s="59">
        <v>0</v>
      </c>
      <c r="E11" s="47">
        <v>27043</v>
      </c>
      <c r="F11" s="48">
        <v>47211</v>
      </c>
      <c r="G11" s="47">
        <v>49203</v>
      </c>
      <c r="H11" s="48">
        <v>51188</v>
      </c>
      <c r="I11" s="47">
        <v>53177</v>
      </c>
    </row>
    <row r="12" spans="1:9" ht="15" customHeight="1">
      <c r="A12" s="46"/>
      <c r="B12" s="58" t="s">
        <v>97</v>
      </c>
      <c r="C12" s="22" t="s">
        <v>71</v>
      </c>
      <c r="D12" s="59">
        <v>0</v>
      </c>
      <c r="E12" s="47">
        <v>2284</v>
      </c>
      <c r="F12" s="48">
        <v>4082</v>
      </c>
      <c r="G12" s="47">
        <v>4239</v>
      </c>
      <c r="H12" s="48">
        <v>4408</v>
      </c>
      <c r="I12" s="47">
        <v>4584</v>
      </c>
    </row>
    <row r="13" spans="1:9" ht="15" customHeight="1">
      <c r="A13" s="46"/>
      <c r="B13" s="58" t="s">
        <v>79</v>
      </c>
      <c r="C13" s="22" t="s">
        <v>71</v>
      </c>
      <c r="D13" s="59">
        <v>0</v>
      </c>
      <c r="E13" s="47">
        <f>(E18-E19)*0.01</f>
        <v>377.16666666666663</v>
      </c>
      <c r="F13" s="47">
        <f>(F18-F19)*0.01</f>
        <v>730</v>
      </c>
      <c r="G13" s="47">
        <f>(G18-G19)*0.01</f>
        <v>760.4166666666667</v>
      </c>
      <c r="H13" s="47">
        <f>(H18-H19)*0.01</f>
        <v>790.8333333333333</v>
      </c>
      <c r="I13" s="47">
        <f>(I18-I19)*0.01</f>
        <v>821.25</v>
      </c>
    </row>
    <row r="14" spans="1:9" ht="15" customHeight="1">
      <c r="A14" s="46"/>
      <c r="B14" s="58" t="s">
        <v>36</v>
      </c>
      <c r="C14" s="22" t="s">
        <v>71</v>
      </c>
      <c r="D14" s="59">
        <v>0</v>
      </c>
      <c r="E14" s="47">
        <f>('1 и 2'!E12+'1 и 2'!E20)/2*0.02</f>
        <v>568.7565000000001</v>
      </c>
      <c r="F14" s="48">
        <f>('1 и 2'!E20+'1 и 2'!F20)/2*0.02</f>
        <v>525.0060000000001</v>
      </c>
      <c r="G14" s="47">
        <f>('1 и 2'!F20+'1 и 2'!G20)/2*0.02</f>
        <v>466.67199999999997</v>
      </c>
      <c r="H14" s="47">
        <f>('1 и 2'!G20+'1 и 2'!H20)/2*0.02</f>
        <v>408.338</v>
      </c>
      <c r="I14" s="47">
        <f>('1 и 2'!H20+'1 и 2'!I20)/2*0.02</f>
        <v>350.00399999999996</v>
      </c>
    </row>
    <row r="15" spans="1:9" ht="15" customHeight="1">
      <c r="A15" s="23"/>
      <c r="B15" s="54" t="s">
        <v>37</v>
      </c>
      <c r="C15" s="22" t="s">
        <v>71</v>
      </c>
      <c r="D15" s="63">
        <v>0</v>
      </c>
      <c r="E15" s="56">
        <v>1458.35</v>
      </c>
      <c r="F15" s="55">
        <v>2916.7</v>
      </c>
      <c r="G15" s="56">
        <v>2916.7</v>
      </c>
      <c r="H15" s="55">
        <v>2916.7</v>
      </c>
      <c r="I15" s="56">
        <v>2916.7</v>
      </c>
    </row>
    <row r="16" spans="1:9" ht="15" customHeight="1">
      <c r="A16" s="46">
        <v>3</v>
      </c>
      <c r="B16" s="22" t="s">
        <v>38</v>
      </c>
      <c r="C16" s="22" t="s">
        <v>71</v>
      </c>
      <c r="D16" s="59">
        <v>0</v>
      </c>
      <c r="E16" s="47">
        <f>(E9+E10+E12)/1.2+E11/1.1+E7+E8+E14+E15+E13</f>
        <v>34792.485287878786</v>
      </c>
      <c r="F16" s="47">
        <f>(F9+F10+F12)/1.2+F11/1.1+F7+F8+F14+F15+F13</f>
        <v>61167.836909090904</v>
      </c>
      <c r="G16" s="47">
        <f>(G9+G10+G12)/1.2+G11/1.1+G7+G8+G14+G15+G13</f>
        <v>63347.90866666666</v>
      </c>
      <c r="H16" s="47">
        <f>(H9+H10+H12)/1.2+H11/1.1+H7+H8+H14+H15+H13</f>
        <v>65544.11678787878</v>
      </c>
      <c r="I16" s="47">
        <f>(I9+I10+I12)/1.2+I11/1.1+I7+I8+I14+I15+I13</f>
        <v>67764.0746060606</v>
      </c>
    </row>
    <row r="17" spans="1:9" ht="15" customHeight="1">
      <c r="A17" s="46">
        <v>4</v>
      </c>
      <c r="B17" s="22" t="s">
        <v>39</v>
      </c>
      <c r="C17" s="22" t="s">
        <v>71</v>
      </c>
      <c r="D17" s="59">
        <v>0</v>
      </c>
      <c r="E17" s="47">
        <v>73</v>
      </c>
      <c r="F17" s="47">
        <v>73</v>
      </c>
      <c r="G17" s="47">
        <v>73</v>
      </c>
      <c r="H17" s="47">
        <v>73</v>
      </c>
      <c r="I17" s="47">
        <v>73</v>
      </c>
    </row>
    <row r="18" spans="1:9" ht="15" customHeight="1">
      <c r="A18" s="46">
        <v>5</v>
      </c>
      <c r="B18" s="22" t="s">
        <v>73</v>
      </c>
      <c r="C18" s="22" t="s">
        <v>71</v>
      </c>
      <c r="D18" s="59">
        <v>0</v>
      </c>
      <c r="E18" s="47">
        <f>E4*E17</f>
        <v>45260</v>
      </c>
      <c r="F18" s="47">
        <f>F4*F17</f>
        <v>87600</v>
      </c>
      <c r="G18" s="47">
        <f>G4*G17</f>
        <v>91250</v>
      </c>
      <c r="H18" s="47">
        <f>H4*H17</f>
        <v>94900</v>
      </c>
      <c r="I18" s="47">
        <f>I4*I17</f>
        <v>98550</v>
      </c>
    </row>
    <row r="19" spans="1:9" ht="15" customHeight="1">
      <c r="A19" s="46"/>
      <c r="B19" s="58" t="s">
        <v>74</v>
      </c>
      <c r="C19" s="22" t="s">
        <v>71</v>
      </c>
      <c r="D19" s="59">
        <v>0</v>
      </c>
      <c r="E19" s="47">
        <f>E18/6</f>
        <v>7543.333333333333</v>
      </c>
      <c r="F19" s="47">
        <f>F18/6</f>
        <v>14600</v>
      </c>
      <c r="G19" s="47">
        <f>G18/6</f>
        <v>15208.333333333334</v>
      </c>
      <c r="H19" s="47">
        <f>H18/6</f>
        <v>15816.666666666666</v>
      </c>
      <c r="I19" s="47">
        <f>I18/6</f>
        <v>16425</v>
      </c>
    </row>
    <row r="21" spans="5:9" ht="18.75">
      <c r="E21" s="45" t="s">
        <v>104</v>
      </c>
      <c r="F21" s="64">
        <f>F16/E16</f>
        <v>1.7580761018644713</v>
      </c>
      <c r="G21" s="64">
        <f>G16/F16</f>
        <v>1.0356408182426957</v>
      </c>
      <c r="H21" s="64">
        <f>H16/G16</f>
        <v>1.0346689917226541</v>
      </c>
      <c r="I21" s="64">
        <f>I16/H16</f>
        <v>1.033869673236521</v>
      </c>
    </row>
    <row r="22" spans="5:9" ht="18.75">
      <c r="E22" s="45" t="s">
        <v>105</v>
      </c>
      <c r="F22" s="64">
        <f>F18/E18</f>
        <v>1.935483870967742</v>
      </c>
      <c r="G22" s="64">
        <f>G18/F18</f>
        <v>1.0416666666666667</v>
      </c>
      <c r="H22" s="64">
        <f>H18/G18</f>
        <v>1.04</v>
      </c>
      <c r="I22" s="64">
        <f>I18/H18</f>
        <v>1.0384615384615385</v>
      </c>
    </row>
    <row r="23" spans="6:9" ht="18.75">
      <c r="F23" s="64">
        <f>F4/E4</f>
        <v>1.935483870967742</v>
      </c>
      <c r="G23" s="64">
        <f>G4/F4</f>
        <v>1.0416666666666667</v>
      </c>
      <c r="H23" s="64">
        <f>H4/G4</f>
        <v>1.04</v>
      </c>
      <c r="I23" s="64">
        <f>I4/H4</f>
        <v>1.0384615384615385</v>
      </c>
    </row>
  </sheetData>
  <mergeCells count="1">
    <mergeCell ref="B2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7">
      <selection activeCell="M10" sqref="M10"/>
    </sheetView>
  </sheetViews>
  <sheetFormatPr defaultColWidth="9.140625" defaultRowHeight="19.5" customHeight="1"/>
  <cols>
    <col min="1" max="1" width="4.421875" style="1" customWidth="1"/>
    <col min="2" max="2" width="23.28125" style="1" customWidth="1"/>
    <col min="3" max="3" width="7.57421875" style="1" customWidth="1"/>
    <col min="4" max="4" width="6.57421875" style="1" customWidth="1"/>
    <col min="5" max="5" width="8.00390625" style="1" customWidth="1"/>
    <col min="6" max="6" width="7.7109375" style="1" customWidth="1"/>
    <col min="7" max="7" width="7.8515625" style="1" customWidth="1"/>
    <col min="8" max="8" width="8.28125" style="1" customWidth="1"/>
    <col min="9" max="9" width="8.140625" style="1" customWidth="1"/>
    <col min="10" max="16384" width="9.140625" style="1" customWidth="1"/>
  </cols>
  <sheetData>
    <row r="1" ht="19.5" customHeight="1">
      <c r="A1" s="1" t="s">
        <v>41</v>
      </c>
    </row>
    <row r="2" spans="1:9" ht="19.5" customHeight="1">
      <c r="A2" s="2" t="s">
        <v>1</v>
      </c>
      <c r="B2" s="123" t="s">
        <v>3</v>
      </c>
      <c r="C2" s="3" t="s">
        <v>64</v>
      </c>
      <c r="D2" s="5">
        <v>2002</v>
      </c>
      <c r="E2" s="6">
        <v>2003</v>
      </c>
      <c r="F2" s="5">
        <v>2004</v>
      </c>
      <c r="G2" s="6">
        <v>2005</v>
      </c>
      <c r="H2" s="5">
        <v>2006</v>
      </c>
      <c r="I2" s="6">
        <v>2007</v>
      </c>
    </row>
    <row r="3" spans="1:9" ht="19.5" customHeight="1">
      <c r="A3" s="23" t="s">
        <v>2</v>
      </c>
      <c r="B3" s="124"/>
      <c r="C3" s="24" t="s">
        <v>65</v>
      </c>
      <c r="D3" s="5">
        <v>0</v>
      </c>
      <c r="E3" s="6">
        <v>1</v>
      </c>
      <c r="F3" s="5">
        <v>2</v>
      </c>
      <c r="G3" s="6">
        <v>3</v>
      </c>
      <c r="H3" s="5">
        <v>4</v>
      </c>
      <c r="I3" s="6">
        <v>5</v>
      </c>
    </row>
    <row r="4" spans="1:14" ht="19.5" customHeight="1">
      <c r="A4" s="121">
        <v>1</v>
      </c>
      <c r="B4" s="141" t="s">
        <v>106</v>
      </c>
      <c r="C4" s="139" t="s">
        <v>71</v>
      </c>
      <c r="D4" s="135">
        <v>0</v>
      </c>
      <c r="E4" s="135">
        <v>2916.7</v>
      </c>
      <c r="F4" s="144">
        <f>E11</f>
        <v>2105.8545454545456</v>
      </c>
      <c r="G4" s="135">
        <v>0</v>
      </c>
      <c r="H4" s="144">
        <v>0</v>
      </c>
      <c r="I4" s="135">
        <v>0</v>
      </c>
      <c r="K4" s="78"/>
      <c r="L4" s="78"/>
      <c r="M4" s="78"/>
      <c r="N4" s="78"/>
    </row>
    <row r="5" spans="1:14" ht="19.5" customHeight="1">
      <c r="A5" s="122"/>
      <c r="B5" s="132"/>
      <c r="C5" s="140"/>
      <c r="D5" s="136"/>
      <c r="E5" s="136"/>
      <c r="F5" s="145"/>
      <c r="G5" s="136"/>
      <c r="H5" s="145"/>
      <c r="I5" s="136"/>
      <c r="K5" s="78"/>
      <c r="L5" s="78"/>
      <c r="M5" s="78"/>
      <c r="N5" s="78"/>
    </row>
    <row r="6" spans="1:14" ht="19.5" customHeight="1">
      <c r="A6" s="121">
        <v>2</v>
      </c>
      <c r="B6" s="137" t="s">
        <v>95</v>
      </c>
      <c r="C6" s="139" t="s">
        <v>71</v>
      </c>
      <c r="D6" s="135">
        <v>2916.7</v>
      </c>
      <c r="E6" s="135">
        <v>2916.7</v>
      </c>
      <c r="F6" s="134">
        <v>0</v>
      </c>
      <c r="G6" s="134">
        <v>0</v>
      </c>
      <c r="H6" s="134">
        <v>0</v>
      </c>
      <c r="I6" s="134">
        <v>0</v>
      </c>
      <c r="K6" s="78"/>
      <c r="L6" s="78"/>
      <c r="M6" s="78"/>
      <c r="N6" s="78"/>
    </row>
    <row r="7" spans="1:14" ht="19.5" customHeight="1">
      <c r="A7" s="133"/>
      <c r="B7" s="138"/>
      <c r="C7" s="140"/>
      <c r="D7" s="136"/>
      <c r="E7" s="136"/>
      <c r="F7" s="134"/>
      <c r="G7" s="134"/>
      <c r="H7" s="134"/>
      <c r="I7" s="134"/>
      <c r="K7" s="78"/>
      <c r="L7" s="78"/>
      <c r="M7" s="78"/>
      <c r="N7" s="78"/>
    </row>
    <row r="8" spans="1:9" ht="19.5" customHeight="1">
      <c r="A8" s="46">
        <v>3</v>
      </c>
      <c r="B8" s="22" t="s">
        <v>42</v>
      </c>
      <c r="C8" s="16" t="s">
        <v>71</v>
      </c>
      <c r="D8" s="48">
        <v>0</v>
      </c>
      <c r="E8" s="47">
        <f>4!E19</f>
        <v>7543.333333333333</v>
      </c>
      <c r="F8" s="47">
        <f>4!F19</f>
        <v>14600</v>
      </c>
      <c r="G8" s="47">
        <f>4!G19</f>
        <v>15208.333333333334</v>
      </c>
      <c r="H8" s="47">
        <f>4!H19</f>
        <v>15816.666666666666</v>
      </c>
      <c r="I8" s="47">
        <f>4!I19</f>
        <v>16425</v>
      </c>
    </row>
    <row r="9" spans="1:9" ht="19.5" customHeight="1">
      <c r="A9" s="46">
        <v>4</v>
      </c>
      <c r="B9" s="22" t="s">
        <v>43</v>
      </c>
      <c r="C9" s="22" t="s">
        <v>71</v>
      </c>
      <c r="D9" s="48">
        <v>0</v>
      </c>
      <c r="E9" s="47">
        <f>(4!E9+4!E10+4!E12)/6+4!E11/11</f>
        <v>3815.787878787879</v>
      </c>
      <c r="F9" s="47">
        <f>(4!F9+4!F10+4!F12)/6+4!F11/11</f>
        <v>6743.909090909091</v>
      </c>
      <c r="G9" s="47">
        <f>(4!G9+4!G10+4!G12)/6+4!G11/11</f>
        <v>6989.5</v>
      </c>
      <c r="H9" s="47">
        <f>(4!H9+4!H10+4!H12)/6+4!H11/11</f>
        <v>7238.954545454545</v>
      </c>
      <c r="I9" s="47">
        <f>(4!I9+4!I10+4!I12)/6+4!I11/11</f>
        <v>7491.439393939394</v>
      </c>
    </row>
    <row r="10" spans="1:9" ht="19.5" customHeight="1">
      <c r="A10" s="46">
        <v>5</v>
      </c>
      <c r="B10" s="22" t="s">
        <v>76</v>
      </c>
      <c r="C10" s="22" t="s">
        <v>71</v>
      </c>
      <c r="D10" s="48">
        <v>0</v>
      </c>
      <c r="E10" s="47">
        <v>0</v>
      </c>
      <c r="F10" s="47">
        <f>F8-F4-F6-F9</f>
        <v>5750.236363636363</v>
      </c>
      <c r="G10" s="47">
        <f>G8-G4-G6-G9</f>
        <v>8218.833333333334</v>
      </c>
      <c r="H10" s="47">
        <f>H8-H4-H6-H9</f>
        <v>8577.71212121212</v>
      </c>
      <c r="I10" s="47">
        <f>I8-I4-I6-I9</f>
        <v>8933.560606060606</v>
      </c>
    </row>
    <row r="11" spans="1:9" ht="19.5" customHeight="1">
      <c r="A11" s="46">
        <v>6</v>
      </c>
      <c r="B11" s="22" t="s">
        <v>44</v>
      </c>
      <c r="C11" s="22" t="s">
        <v>71</v>
      </c>
      <c r="D11" s="48">
        <v>2916.7</v>
      </c>
      <c r="E11" s="47">
        <f>E4+E6-E8+E9+E10</f>
        <v>2105.8545454545456</v>
      </c>
      <c r="F11" s="47">
        <f>F4+F6-F8+F9+F10</f>
        <v>0</v>
      </c>
      <c r="G11" s="47">
        <v>0</v>
      </c>
      <c r="H11" s="48">
        <v>0</v>
      </c>
      <c r="I11" s="47">
        <v>0</v>
      </c>
    </row>
    <row r="12" spans="1:9" ht="19.5" customHeight="1">
      <c r="A12" s="46">
        <v>7</v>
      </c>
      <c r="B12" s="22" t="s">
        <v>45</v>
      </c>
      <c r="C12" s="22" t="s">
        <v>71</v>
      </c>
      <c r="D12" s="48">
        <v>2916.7</v>
      </c>
      <c r="E12" s="47">
        <f>E11-D11</f>
        <v>-810.8454545454542</v>
      </c>
      <c r="F12" s="47">
        <f>F11-E11</f>
        <v>-2105.8545454545456</v>
      </c>
      <c r="G12" s="47">
        <v>0</v>
      </c>
      <c r="H12" s="48">
        <v>0</v>
      </c>
      <c r="I12" s="47">
        <v>0</v>
      </c>
    </row>
    <row r="13" ht="19.5" customHeight="1">
      <c r="A13" s="1" t="s">
        <v>46</v>
      </c>
    </row>
    <row r="14" spans="1:9" ht="19.5" customHeight="1">
      <c r="A14" s="130" t="s">
        <v>103</v>
      </c>
      <c r="B14" s="141" t="s">
        <v>3</v>
      </c>
      <c r="C14" s="123" t="s">
        <v>107</v>
      </c>
      <c r="D14" s="5">
        <v>2002</v>
      </c>
      <c r="E14" s="6">
        <v>2003</v>
      </c>
      <c r="F14" s="5">
        <v>2004</v>
      </c>
      <c r="G14" s="6">
        <v>2005</v>
      </c>
      <c r="H14" s="5">
        <v>2006</v>
      </c>
      <c r="I14" s="6">
        <v>2007</v>
      </c>
    </row>
    <row r="15" spans="1:9" ht="21" customHeight="1">
      <c r="A15" s="142"/>
      <c r="B15" s="143"/>
      <c r="C15" s="146"/>
      <c r="D15" s="46">
        <v>0</v>
      </c>
      <c r="E15" s="5">
        <v>1</v>
      </c>
      <c r="F15" s="6">
        <v>2</v>
      </c>
      <c r="G15" s="6">
        <v>3</v>
      </c>
      <c r="H15" s="5">
        <v>4</v>
      </c>
      <c r="I15" s="6">
        <v>5</v>
      </c>
    </row>
    <row r="16" spans="1:9" ht="19.5" customHeight="1">
      <c r="A16" s="9">
        <v>1</v>
      </c>
      <c r="B16" s="12" t="s">
        <v>77</v>
      </c>
      <c r="C16" s="5" t="s">
        <v>71</v>
      </c>
      <c r="D16" s="65">
        <v>0</v>
      </c>
      <c r="E16" s="49">
        <f>(4!E7+4!E8)+(4!E9+4!E10+4!E12)/1.2+4!E13+4!E11/1.1</f>
        <v>32765.378787878784</v>
      </c>
      <c r="F16" s="49">
        <f>(4!F7+4!F8)+(4!F9+4!F10+4!F12)/1.2+4!F13+4!F11/1.1</f>
        <v>57726.130909090905</v>
      </c>
      <c r="G16" s="49">
        <f>(4!G7+4!G8)+(4!G9+4!G10+4!G12)/1.2+4!G13+4!G11/1.1</f>
        <v>59964.53666666667</v>
      </c>
      <c r="H16" s="49">
        <f>(4!H7+4!H8)+(4!H9+4!H10+4!H12)/1.2+4!H13+4!H11/1.1</f>
        <v>62219.07878787878</v>
      </c>
      <c r="I16" s="49">
        <f>(4!I7+4!I8)+(4!I9+4!I10+4!I12)/1.2+4!I13+4!I11/1.1</f>
        <v>64497.370606060605</v>
      </c>
    </row>
    <row r="17" spans="1:9" ht="19.5" customHeight="1">
      <c r="A17" s="9">
        <v>2</v>
      </c>
      <c r="B17" s="12" t="s">
        <v>78</v>
      </c>
      <c r="C17" s="5" t="s">
        <v>71</v>
      </c>
      <c r="D17" s="65">
        <v>0</v>
      </c>
      <c r="E17" s="49">
        <f>4!E15+4!E14</f>
        <v>2027.1064999999999</v>
      </c>
      <c r="F17" s="49">
        <f>4!F15+4!F14</f>
        <v>3441.706</v>
      </c>
      <c r="G17" s="49">
        <f>4!G15+4!G14</f>
        <v>3383.372</v>
      </c>
      <c r="H17" s="49">
        <f>4!H15+4!H14</f>
        <v>3325.038</v>
      </c>
      <c r="I17" s="49">
        <f>4!I15+4!I14</f>
        <v>3266.7039999999997</v>
      </c>
    </row>
    <row r="18" spans="1:9" ht="19.5" customHeight="1">
      <c r="A18" s="9">
        <v>5</v>
      </c>
      <c r="B18" s="12" t="s">
        <v>48</v>
      </c>
      <c r="C18" s="5" t="s">
        <v>71</v>
      </c>
      <c r="D18" s="65">
        <v>0</v>
      </c>
      <c r="E18" s="49">
        <f>SUM(E16:E17)</f>
        <v>34792.485287878786</v>
      </c>
      <c r="F18" s="49">
        <f>SUM(F16:F17)</f>
        <v>61167.836909090904</v>
      </c>
      <c r="G18" s="49">
        <f>SUM(G16:G17)</f>
        <v>63347.90866666667</v>
      </c>
      <c r="H18" s="49">
        <f>SUM(H16:H17)</f>
        <v>65544.11678787878</v>
      </c>
      <c r="I18" s="49">
        <f>SUM(I16:I17)</f>
        <v>67764.0746060606</v>
      </c>
    </row>
    <row r="19" spans="1:9" ht="19.5" customHeight="1">
      <c r="A19" s="5">
        <v>6</v>
      </c>
      <c r="B19" s="58" t="s">
        <v>29</v>
      </c>
      <c r="C19" s="5" t="s">
        <v>71</v>
      </c>
      <c r="D19" s="66">
        <v>0</v>
      </c>
      <c r="E19" s="47">
        <f>4!E14+4!E13+4!E8</f>
        <v>1212.9231666666667</v>
      </c>
      <c r="F19" s="47">
        <f>4!F14+4!F13+4!F8</f>
        <v>1732.046</v>
      </c>
      <c r="G19" s="47">
        <f>4!G14+4!G13+4!G8</f>
        <v>1723.7086666666669</v>
      </c>
      <c r="H19" s="47">
        <f>4!H14+4!H13+4!H8</f>
        <v>1715.371333333333</v>
      </c>
      <c r="I19" s="47">
        <f>4!I14+4!I13+4!I8</f>
        <v>1708.8139999999999</v>
      </c>
    </row>
  </sheetData>
  <mergeCells count="22">
    <mergeCell ref="A14:A15"/>
    <mergeCell ref="B14:B15"/>
    <mergeCell ref="I6:I7"/>
    <mergeCell ref="E4:E5"/>
    <mergeCell ref="F4:F5"/>
    <mergeCell ref="G4:G5"/>
    <mergeCell ref="H4:H5"/>
    <mergeCell ref="I4:I5"/>
    <mergeCell ref="E6:E7"/>
    <mergeCell ref="C14:C15"/>
    <mergeCell ref="B2:B3"/>
    <mergeCell ref="B6:B7"/>
    <mergeCell ref="H6:H7"/>
    <mergeCell ref="D6:D7"/>
    <mergeCell ref="C4:C5"/>
    <mergeCell ref="C6:C7"/>
    <mergeCell ref="B4:B5"/>
    <mergeCell ref="A4:A5"/>
    <mergeCell ref="A6:A7"/>
    <mergeCell ref="F6:F7"/>
    <mergeCell ref="G6:G7"/>
    <mergeCell ref="D4:D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 topLeftCell="A10">
      <selection activeCell="F22" sqref="F22"/>
    </sheetView>
  </sheetViews>
  <sheetFormatPr defaultColWidth="9.140625" defaultRowHeight="15" customHeight="1"/>
  <cols>
    <col min="1" max="1" width="4.421875" style="1" customWidth="1"/>
    <col min="2" max="2" width="31.140625" style="1" customWidth="1"/>
    <col min="3" max="3" width="7.57421875" style="1" customWidth="1"/>
    <col min="4" max="10" width="8.7109375" style="1" customWidth="1"/>
    <col min="11" max="16384" width="9.140625" style="1" customWidth="1"/>
  </cols>
  <sheetData>
    <row r="2" ht="15" customHeight="1">
      <c r="I2" s="118" t="s">
        <v>153</v>
      </c>
    </row>
    <row r="4" spans="2:9" ht="15" customHeight="1">
      <c r="B4" s="147" t="s">
        <v>108</v>
      </c>
      <c r="C4" s="147"/>
      <c r="D4" s="147"/>
      <c r="E4" s="147"/>
      <c r="F4" s="147"/>
      <c r="G4" s="147"/>
      <c r="H4" s="147"/>
      <c r="I4" s="147"/>
    </row>
    <row r="6" spans="1:10" ht="15" customHeight="1">
      <c r="A6" s="2" t="s">
        <v>1</v>
      </c>
      <c r="B6" s="123" t="s">
        <v>3</v>
      </c>
      <c r="C6" s="111" t="s">
        <v>107</v>
      </c>
      <c r="D6" s="5">
        <v>2002</v>
      </c>
      <c r="E6" s="6">
        <v>2003</v>
      </c>
      <c r="F6" s="5">
        <v>2004</v>
      </c>
      <c r="G6" s="6">
        <v>2005</v>
      </c>
      <c r="H6" s="5">
        <v>2006</v>
      </c>
      <c r="I6" s="6">
        <v>2007</v>
      </c>
      <c r="J6" s="119" t="s">
        <v>33</v>
      </c>
    </row>
    <row r="7" spans="1:10" ht="15" customHeight="1">
      <c r="A7" s="23" t="s">
        <v>2</v>
      </c>
      <c r="B7" s="124"/>
      <c r="C7" s="148"/>
      <c r="D7" s="5">
        <v>0</v>
      </c>
      <c r="E7" s="6">
        <v>1</v>
      </c>
      <c r="F7" s="5">
        <v>2</v>
      </c>
      <c r="G7" s="6">
        <v>3</v>
      </c>
      <c r="H7" s="5">
        <v>4</v>
      </c>
      <c r="I7" s="6">
        <v>5</v>
      </c>
      <c r="J7" s="120"/>
    </row>
    <row r="8" spans="1:10" ht="15" customHeight="1">
      <c r="A8" s="119">
        <v>1</v>
      </c>
      <c r="B8" s="117" t="s">
        <v>49</v>
      </c>
      <c r="C8" s="139" t="s">
        <v>71</v>
      </c>
      <c r="D8" s="150">
        <v>0</v>
      </c>
      <c r="E8" s="134">
        <f>4!E18/1.2</f>
        <v>37716.66666666667</v>
      </c>
      <c r="F8" s="134">
        <f>4!F18/1.2</f>
        <v>73000</v>
      </c>
      <c r="G8" s="134">
        <f>4!G18/1.2</f>
        <v>76041.66666666667</v>
      </c>
      <c r="H8" s="134">
        <f>4!H18/1.2</f>
        <v>79083.33333333334</v>
      </c>
      <c r="I8" s="134">
        <f>4!I18/1.2</f>
        <v>82125</v>
      </c>
      <c r="J8" s="135">
        <f>SUM(E8:I9)</f>
        <v>347966.6666666667</v>
      </c>
    </row>
    <row r="9" spans="1:10" ht="15" customHeight="1">
      <c r="A9" s="120"/>
      <c r="B9" s="102"/>
      <c r="C9" s="140"/>
      <c r="D9" s="151"/>
      <c r="E9" s="134"/>
      <c r="F9" s="134"/>
      <c r="G9" s="134"/>
      <c r="H9" s="134"/>
      <c r="I9" s="134"/>
      <c r="J9" s="149"/>
    </row>
    <row r="10" spans="1:10" ht="15" customHeight="1">
      <c r="A10" s="5">
        <v>2</v>
      </c>
      <c r="B10" s="37" t="s">
        <v>50</v>
      </c>
      <c r="C10" s="16" t="s">
        <v>71</v>
      </c>
      <c r="D10" s="69">
        <v>0</v>
      </c>
      <c r="E10" s="47">
        <f>4!E16-7!E11-7!E14</f>
        <v>32121.21212121212</v>
      </c>
      <c r="F10" s="47">
        <f>4!F16-7!F11-7!F14</f>
        <v>56519.090909090904</v>
      </c>
      <c r="G10" s="47">
        <f>4!G16-7!G11-7!G14</f>
        <v>58707.5</v>
      </c>
      <c r="H10" s="47">
        <f>4!H16-7!H11-7!H14</f>
        <v>60912.04545454545</v>
      </c>
      <c r="I10" s="47">
        <f>4!I16-7!I11-7!I14</f>
        <v>63138.56060606061</v>
      </c>
      <c r="J10" s="47">
        <f>SUM(E10:I10)</f>
        <v>271398.40909090906</v>
      </c>
    </row>
    <row r="11" spans="1:10" ht="14.25" customHeight="1">
      <c r="A11" s="5">
        <v>3</v>
      </c>
      <c r="B11" s="37" t="s">
        <v>51</v>
      </c>
      <c r="C11" s="22" t="s">
        <v>71</v>
      </c>
      <c r="D11" s="69">
        <v>0</v>
      </c>
      <c r="E11" s="47">
        <f>'5 И 6'!E19</f>
        <v>1212.9231666666667</v>
      </c>
      <c r="F11" s="47">
        <f>'5 И 6'!F19</f>
        <v>1732.046</v>
      </c>
      <c r="G11" s="47">
        <f>'5 И 6'!G19</f>
        <v>1723.7086666666669</v>
      </c>
      <c r="H11" s="47">
        <f>'5 И 6'!H19</f>
        <v>1715.371333333333</v>
      </c>
      <c r="I11" s="47">
        <f>'5 И 6'!I19</f>
        <v>1708.8139999999999</v>
      </c>
      <c r="J11" s="47">
        <f aca="true" t="shared" si="0" ref="J11:J18">SUM(E11:I11)</f>
        <v>8092.863166666666</v>
      </c>
    </row>
    <row r="12" spans="1:10" ht="12" customHeight="1" hidden="1">
      <c r="A12" s="5">
        <v>4</v>
      </c>
      <c r="B12" s="37" t="s">
        <v>98</v>
      </c>
      <c r="C12" s="22"/>
      <c r="D12" s="69"/>
      <c r="E12" s="47"/>
      <c r="F12" s="47"/>
      <c r="G12" s="47"/>
      <c r="H12" s="47"/>
      <c r="I12" s="47"/>
      <c r="J12" s="47"/>
    </row>
    <row r="13" spans="1:10" ht="15" customHeight="1" hidden="1">
      <c r="A13" s="5">
        <v>5</v>
      </c>
      <c r="B13" s="37" t="s">
        <v>99</v>
      </c>
      <c r="C13" s="22"/>
      <c r="D13" s="69"/>
      <c r="E13" s="47"/>
      <c r="F13" s="47"/>
      <c r="G13" s="47"/>
      <c r="H13" s="47"/>
      <c r="I13" s="47"/>
      <c r="J13" s="47"/>
    </row>
    <row r="14" spans="1:10" ht="15" customHeight="1">
      <c r="A14" s="5">
        <v>4</v>
      </c>
      <c r="B14" s="37" t="s">
        <v>37</v>
      </c>
      <c r="C14" s="22" t="s">
        <v>71</v>
      </c>
      <c r="D14" s="69">
        <v>0</v>
      </c>
      <c r="E14" s="47">
        <f>4!E15</f>
        <v>1458.35</v>
      </c>
      <c r="F14" s="47">
        <f>4!F15</f>
        <v>2916.7</v>
      </c>
      <c r="G14" s="47">
        <f>4!G15</f>
        <v>2916.7</v>
      </c>
      <c r="H14" s="47">
        <f>4!H15</f>
        <v>2916.7</v>
      </c>
      <c r="I14" s="47">
        <f>4!I15</f>
        <v>2916.7</v>
      </c>
      <c r="J14" s="47">
        <f t="shared" si="0"/>
        <v>13125.149999999998</v>
      </c>
    </row>
    <row r="15" spans="1:10" ht="15" customHeight="1">
      <c r="A15" s="5">
        <v>5</v>
      </c>
      <c r="B15" s="37" t="s">
        <v>52</v>
      </c>
      <c r="C15" s="22" t="s">
        <v>71</v>
      </c>
      <c r="D15" s="69">
        <v>0</v>
      </c>
      <c r="E15" s="47">
        <f>E8-E10-E11-E14</f>
        <v>2924.181378787885</v>
      </c>
      <c r="F15" s="47">
        <f>F8-F10-F11-F14</f>
        <v>11832.163090909096</v>
      </c>
      <c r="G15" s="47">
        <f>G8-G10-G11-G14</f>
        <v>12693.758000000005</v>
      </c>
      <c r="H15" s="47">
        <f>H8-H10-H11-H14</f>
        <v>13539.216545454561</v>
      </c>
      <c r="I15" s="47">
        <f>I8-I10-I11-I14</f>
        <v>14360.925393939393</v>
      </c>
      <c r="J15" s="47">
        <f t="shared" si="0"/>
        <v>55350.24440909094</v>
      </c>
    </row>
    <row r="16" spans="1:10" ht="15" customHeight="1">
      <c r="A16" s="5">
        <v>6</v>
      </c>
      <c r="B16" s="1" t="s">
        <v>53</v>
      </c>
      <c r="C16" s="22" t="s">
        <v>71</v>
      </c>
      <c r="D16" s="70">
        <v>0</v>
      </c>
      <c r="E16" s="47">
        <f>E15*0.24</f>
        <v>701.8035309090924</v>
      </c>
      <c r="F16" s="47">
        <f>F15*0.24</f>
        <v>2839.719141818183</v>
      </c>
      <c r="G16" s="47">
        <f>G15*0.24</f>
        <v>3046.501920000001</v>
      </c>
      <c r="H16" s="47">
        <f>H15*0.24</f>
        <v>3249.4119709090946</v>
      </c>
      <c r="I16" s="47">
        <f>I15*0.24</f>
        <v>3446.6220945454543</v>
      </c>
      <c r="J16" s="47">
        <f t="shared" si="0"/>
        <v>13284.058658181824</v>
      </c>
    </row>
    <row r="17" spans="1:10" ht="15" customHeight="1">
      <c r="A17" s="5">
        <v>7</v>
      </c>
      <c r="B17" s="67" t="s">
        <v>54</v>
      </c>
      <c r="C17" s="22" t="s">
        <v>71</v>
      </c>
      <c r="D17" s="61">
        <v>0</v>
      </c>
      <c r="E17" s="47">
        <f>E15-E16</f>
        <v>2222.3778478787926</v>
      </c>
      <c r="F17" s="47">
        <f>F15-F16</f>
        <v>8992.443949090914</v>
      </c>
      <c r="G17" s="47">
        <f>G15-G16</f>
        <v>9647.256080000005</v>
      </c>
      <c r="H17" s="47">
        <f>H15-H16</f>
        <v>10289.804574545466</v>
      </c>
      <c r="I17" s="47">
        <f>I15-I16</f>
        <v>10914.303299393938</v>
      </c>
      <c r="J17" s="47">
        <f t="shared" si="0"/>
        <v>42066.18575090912</v>
      </c>
    </row>
    <row r="18" spans="1:10" ht="15" customHeight="1">
      <c r="A18" s="5">
        <v>8</v>
      </c>
      <c r="B18" s="33" t="s">
        <v>55</v>
      </c>
      <c r="C18" s="22" t="s">
        <v>71</v>
      </c>
      <c r="D18" s="61">
        <v>0</v>
      </c>
      <c r="E18" s="49">
        <f>E14+E17</f>
        <v>3680.7278478787925</v>
      </c>
      <c r="F18" s="49">
        <f>F14+F17</f>
        <v>11909.143949090914</v>
      </c>
      <c r="G18" s="49">
        <f>G14+G17</f>
        <v>12563.956080000004</v>
      </c>
      <c r="H18" s="49">
        <f>H14+H17</f>
        <v>13206.504574545466</v>
      </c>
      <c r="I18" s="49">
        <f>I14+I17</f>
        <v>13831.003299393939</v>
      </c>
      <c r="J18" s="47">
        <f t="shared" si="0"/>
        <v>55191.335750909115</v>
      </c>
    </row>
    <row r="19" spans="1:10" ht="15" customHeight="1">
      <c r="A19" s="5">
        <v>9</v>
      </c>
      <c r="B19" s="37" t="s">
        <v>56</v>
      </c>
      <c r="C19" s="22" t="s">
        <v>71</v>
      </c>
      <c r="D19" s="48">
        <f>'1 и 2'!D7/1.2</f>
        <v>14583.333333333334</v>
      </c>
      <c r="E19" s="47">
        <v>14583.333333333334</v>
      </c>
      <c r="F19" s="69">
        <v>0</v>
      </c>
      <c r="G19" s="48">
        <v>0</v>
      </c>
      <c r="H19" s="47">
        <v>0</v>
      </c>
      <c r="I19" s="47">
        <v>0</v>
      </c>
      <c r="J19" s="47">
        <f>SUM(D19:I19)</f>
        <v>29166.666666666668</v>
      </c>
    </row>
    <row r="20" spans="1:10" ht="15" customHeight="1">
      <c r="A20" s="5">
        <v>10</v>
      </c>
      <c r="B20" s="1" t="s">
        <v>57</v>
      </c>
      <c r="C20" s="22" t="s">
        <v>71</v>
      </c>
      <c r="D20" s="71">
        <f>'5 И 6'!D12</f>
        <v>2916.7</v>
      </c>
      <c r="E20" s="71">
        <f>'5 И 6'!E12</f>
        <v>-810.8454545454542</v>
      </c>
      <c r="F20" s="71">
        <f>'5 И 6'!F12</f>
        <v>-2105.8545454545456</v>
      </c>
      <c r="G20" s="71">
        <f>'5 И 6'!G12</f>
        <v>0</v>
      </c>
      <c r="H20" s="71">
        <f>'5 И 6'!H12</f>
        <v>0</v>
      </c>
      <c r="I20" s="71">
        <f>'5 И 6'!I12</f>
        <v>0</v>
      </c>
      <c r="J20" s="47">
        <v>0</v>
      </c>
    </row>
    <row r="21" spans="1:10" ht="15" customHeight="1">
      <c r="A21" s="5">
        <v>11</v>
      </c>
      <c r="B21" s="68" t="s">
        <v>58</v>
      </c>
      <c r="C21" s="22" t="s">
        <v>71</v>
      </c>
      <c r="D21" s="47"/>
      <c r="E21" s="72"/>
      <c r="F21" s="72"/>
      <c r="G21" s="72"/>
      <c r="H21" s="72"/>
      <c r="I21" s="47">
        <f>3!F16</f>
        <v>12760.5625</v>
      </c>
      <c r="J21" s="69">
        <v>12760.5625</v>
      </c>
    </row>
    <row r="22" spans="1:10" ht="15" customHeight="1">
      <c r="A22" s="5">
        <v>12</v>
      </c>
      <c r="B22" s="1" t="s">
        <v>59</v>
      </c>
      <c r="C22" s="12" t="s">
        <v>71</v>
      </c>
      <c r="D22" s="71"/>
      <c r="E22" s="73"/>
      <c r="F22" s="74"/>
      <c r="G22" s="73"/>
      <c r="H22" s="74"/>
      <c r="I22" s="71">
        <f>3!F11</f>
        <v>4331.299500000001</v>
      </c>
      <c r="J22" s="47">
        <v>4331.299500000001</v>
      </c>
    </row>
    <row r="23" spans="1:10" ht="15" customHeight="1">
      <c r="A23" s="119">
        <v>13</v>
      </c>
      <c r="B23" s="117" t="s">
        <v>63</v>
      </c>
      <c r="C23" s="139" t="s">
        <v>71</v>
      </c>
      <c r="D23" s="152">
        <f aca="true" t="shared" si="1" ref="D23:I23">D21-D19-D20-D22</f>
        <v>-17500.033333333333</v>
      </c>
      <c r="E23" s="152">
        <f t="shared" si="1"/>
        <v>-13772.48787878788</v>
      </c>
      <c r="F23" s="152">
        <f t="shared" si="1"/>
        <v>2105.8545454545456</v>
      </c>
      <c r="G23" s="152">
        <f t="shared" si="1"/>
        <v>0</v>
      </c>
      <c r="H23" s="152">
        <f t="shared" si="1"/>
        <v>0</v>
      </c>
      <c r="I23" s="152">
        <f t="shared" si="1"/>
        <v>8429.262999999999</v>
      </c>
      <c r="J23" s="135">
        <f>D23+E23+I23</f>
        <v>-22843.258212121214</v>
      </c>
    </row>
    <row r="24" spans="1:10" ht="15" customHeight="1">
      <c r="A24" s="120"/>
      <c r="B24" s="102"/>
      <c r="C24" s="140"/>
      <c r="D24" s="153"/>
      <c r="E24" s="154"/>
      <c r="F24" s="154"/>
      <c r="G24" s="154"/>
      <c r="H24" s="154"/>
      <c r="I24" s="154"/>
      <c r="J24" s="149"/>
    </row>
    <row r="25" spans="1:10" ht="15" customHeight="1">
      <c r="A25" s="36">
        <v>14</v>
      </c>
      <c r="B25" s="35" t="s">
        <v>62</v>
      </c>
      <c r="C25" s="16" t="s">
        <v>71</v>
      </c>
      <c r="D25" s="70">
        <v>0</v>
      </c>
      <c r="E25" s="75">
        <v>0</v>
      </c>
      <c r="F25" s="71">
        <v>0</v>
      </c>
      <c r="G25" s="75">
        <v>0</v>
      </c>
      <c r="H25" s="71">
        <v>0</v>
      </c>
      <c r="I25" s="76">
        <v>0</v>
      </c>
      <c r="J25" s="69">
        <v>0</v>
      </c>
    </row>
    <row r="26" spans="1:10" ht="15" customHeight="1">
      <c r="A26" s="5">
        <v>15</v>
      </c>
      <c r="B26" s="37" t="s">
        <v>60</v>
      </c>
      <c r="C26" s="22" t="s">
        <v>71</v>
      </c>
      <c r="D26" s="47">
        <f aca="true" t="shared" si="2" ref="D26:I26">D18+D23+D25</f>
        <v>-17500.033333333333</v>
      </c>
      <c r="E26" s="47">
        <f>E18+E23+E25</f>
        <v>-10091.760030909089</v>
      </c>
      <c r="F26" s="47">
        <f t="shared" si="2"/>
        <v>14014.99849454546</v>
      </c>
      <c r="G26" s="47">
        <f t="shared" si="2"/>
        <v>12563.956080000004</v>
      </c>
      <c r="H26" s="47">
        <f t="shared" si="2"/>
        <v>13206.504574545466</v>
      </c>
      <c r="I26" s="77">
        <f t="shared" si="2"/>
        <v>22260.266299393938</v>
      </c>
      <c r="J26" s="47">
        <f>SUM(D26:I26)</f>
        <v>34453.93208424245</v>
      </c>
    </row>
    <row r="27" spans="1:10" ht="15" customHeight="1">
      <c r="A27" s="5">
        <v>16</v>
      </c>
      <c r="B27" s="37" t="s">
        <v>61</v>
      </c>
      <c r="C27" s="22" t="s">
        <v>71</v>
      </c>
      <c r="D27" s="47">
        <v>-17500.033333333333</v>
      </c>
      <c r="E27" s="47">
        <f>D27+E26</f>
        <v>-27591.79336424242</v>
      </c>
      <c r="F27" s="47">
        <f>E27+F26</f>
        <v>-13576.794869696962</v>
      </c>
      <c r="G27" s="47">
        <f>F27+G26</f>
        <v>-1012.838789696958</v>
      </c>
      <c r="H27" s="47">
        <f>G27+H26</f>
        <v>12193.665784848508</v>
      </c>
      <c r="I27" s="47">
        <f>H27+I26</f>
        <v>34453.93208424245</v>
      </c>
      <c r="J27" s="5" t="s">
        <v>80</v>
      </c>
    </row>
  </sheetData>
  <mergeCells count="24">
    <mergeCell ref="J6:J7"/>
    <mergeCell ref="E23:E24"/>
    <mergeCell ref="F23:F24"/>
    <mergeCell ref="G23:G24"/>
    <mergeCell ref="H23:H24"/>
    <mergeCell ref="I23:I24"/>
    <mergeCell ref="G8:G9"/>
    <mergeCell ref="H8:H9"/>
    <mergeCell ref="I8:I9"/>
    <mergeCell ref="J23:J24"/>
    <mergeCell ref="J8:J9"/>
    <mergeCell ref="B23:B24"/>
    <mergeCell ref="A23:A24"/>
    <mergeCell ref="B8:B9"/>
    <mergeCell ref="A8:A9"/>
    <mergeCell ref="D8:D9"/>
    <mergeCell ref="F8:F9"/>
    <mergeCell ref="E8:E9"/>
    <mergeCell ref="D23:D24"/>
    <mergeCell ref="B4:I4"/>
    <mergeCell ref="C8:C9"/>
    <mergeCell ref="C6:C7"/>
    <mergeCell ref="C23:C24"/>
    <mergeCell ref="B6:B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0">
      <selection activeCell="H18" sqref="H18"/>
    </sheetView>
  </sheetViews>
  <sheetFormatPr defaultColWidth="9.140625" defaultRowHeight="12.75"/>
  <cols>
    <col min="1" max="1" width="3.7109375" style="1" customWidth="1"/>
    <col min="2" max="2" width="16.7109375" style="1" customWidth="1"/>
    <col min="3" max="3" width="7.7109375" style="1" customWidth="1"/>
    <col min="4" max="6" width="8.421875" style="1" customWidth="1"/>
    <col min="7" max="9" width="7.8515625" style="1" customWidth="1"/>
    <col min="10" max="10" width="8.7109375" style="1" customWidth="1"/>
    <col min="11" max="16384" width="9.140625" style="1" customWidth="1"/>
  </cols>
  <sheetData>
    <row r="1" s="91" customFormat="1" ht="12.75">
      <c r="A1" s="91" t="s">
        <v>81</v>
      </c>
    </row>
    <row r="2" spans="1:10" ht="12.75">
      <c r="A2" s="130" t="s">
        <v>103</v>
      </c>
      <c r="B2" s="155" t="s">
        <v>75</v>
      </c>
      <c r="C2" s="111" t="s">
        <v>107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156" t="s">
        <v>148</v>
      </c>
    </row>
    <row r="3" spans="1:10" ht="12.75">
      <c r="A3" s="157"/>
      <c r="B3" s="155"/>
      <c r="C3" s="158"/>
      <c r="D3" s="5">
        <v>0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156"/>
    </row>
    <row r="4" spans="1:10" ht="25.5">
      <c r="A4" s="5">
        <v>1</v>
      </c>
      <c r="B4" s="94" t="s">
        <v>82</v>
      </c>
      <c r="C4" s="5" t="s">
        <v>71</v>
      </c>
      <c r="D4" s="92">
        <f>7!D18</f>
        <v>0</v>
      </c>
      <c r="E4" s="92">
        <f>7!E18</f>
        <v>3680.7278478787925</v>
      </c>
      <c r="F4" s="92">
        <f>7!F18</f>
        <v>11909.143949090914</v>
      </c>
      <c r="G4" s="92">
        <f>7!G18</f>
        <v>12563.956080000004</v>
      </c>
      <c r="H4" s="92">
        <f>7!H18</f>
        <v>13206.504574545466</v>
      </c>
      <c r="I4" s="92">
        <f>7!I18</f>
        <v>13831.003299393939</v>
      </c>
      <c r="J4" s="92">
        <f>SUM(D4:I4)</f>
        <v>55191.335750909115</v>
      </c>
    </row>
    <row r="5" spans="1:10" ht="25.5">
      <c r="A5" s="5">
        <v>2</v>
      </c>
      <c r="B5" s="94" t="s">
        <v>83</v>
      </c>
      <c r="C5" s="5" t="s">
        <v>71</v>
      </c>
      <c r="D5" s="93">
        <f>7!D23</f>
        <v>-17500.033333333333</v>
      </c>
      <c r="E5" s="93">
        <f>7!E23</f>
        <v>-13772.48787878788</v>
      </c>
      <c r="F5" s="93">
        <f>7!F23</f>
        <v>2105.8545454545456</v>
      </c>
      <c r="G5" s="93">
        <f>7!G23</f>
        <v>0</v>
      </c>
      <c r="H5" s="93">
        <f>7!H23</f>
        <v>0</v>
      </c>
      <c r="I5" s="93">
        <f>7!I23</f>
        <v>8429.262999999999</v>
      </c>
      <c r="J5" s="92">
        <f aca="true" t="shared" si="0" ref="J5:J11">SUM(D5:I5)</f>
        <v>-20737.40366666667</v>
      </c>
    </row>
    <row r="6" spans="1:10" ht="25.5">
      <c r="A6" s="5">
        <v>3</v>
      </c>
      <c r="B6" s="94" t="s">
        <v>84</v>
      </c>
      <c r="C6" s="5" t="s">
        <v>71</v>
      </c>
      <c r="D6" s="92">
        <f>7!D26</f>
        <v>-17500.033333333333</v>
      </c>
      <c r="E6" s="92">
        <f>7!E26</f>
        <v>-10091.760030909089</v>
      </c>
      <c r="F6" s="92">
        <f>7!F26</f>
        <v>14014.99849454546</v>
      </c>
      <c r="G6" s="92">
        <f>7!G26</f>
        <v>12563.956080000004</v>
      </c>
      <c r="H6" s="92">
        <f>7!H26</f>
        <v>13206.504574545466</v>
      </c>
      <c r="I6" s="92">
        <f>7!I26</f>
        <v>22260.266299393938</v>
      </c>
      <c r="J6" s="92">
        <f t="shared" si="0"/>
        <v>34453.93208424245</v>
      </c>
    </row>
    <row r="7" spans="1:10" ht="38.25">
      <c r="A7" s="5">
        <v>4</v>
      </c>
      <c r="B7" s="94" t="s">
        <v>85</v>
      </c>
      <c r="C7" s="5" t="s">
        <v>71</v>
      </c>
      <c r="D7" s="92">
        <f>7!D27</f>
        <v>-17500.033333333333</v>
      </c>
      <c r="E7" s="92">
        <f>7!E27</f>
        <v>-27591.79336424242</v>
      </c>
      <c r="F7" s="92">
        <f>7!F27</f>
        <v>-13576.794869696962</v>
      </c>
      <c r="G7" s="92">
        <f>7!G27</f>
        <v>-1012.838789696958</v>
      </c>
      <c r="H7" s="92">
        <f>7!H27</f>
        <v>12193.665784848508</v>
      </c>
      <c r="I7" s="92">
        <f>7!I27</f>
        <v>34453.93208424245</v>
      </c>
      <c r="J7" s="92"/>
    </row>
    <row r="8" spans="1:10" ht="12.75">
      <c r="A8" s="5">
        <v>5</v>
      </c>
      <c r="B8" s="94" t="s">
        <v>86</v>
      </c>
      <c r="C8" s="5" t="s">
        <v>10</v>
      </c>
      <c r="D8" s="92"/>
      <c r="E8" s="92"/>
      <c r="F8" s="92"/>
      <c r="G8" s="92"/>
      <c r="H8" s="92">
        <v>3.08</v>
      </c>
      <c r="I8" s="92"/>
      <c r="J8" s="92"/>
    </row>
    <row r="9" spans="1:10" ht="25.5">
      <c r="A9" s="5">
        <v>6</v>
      </c>
      <c r="B9" s="94" t="s">
        <v>87</v>
      </c>
      <c r="C9" s="5">
        <v>0</v>
      </c>
      <c r="D9" s="92">
        <v>20</v>
      </c>
      <c r="E9" s="92">
        <v>20</v>
      </c>
      <c r="F9" s="92">
        <v>20</v>
      </c>
      <c r="G9" s="92">
        <v>20</v>
      </c>
      <c r="H9" s="92">
        <v>20</v>
      </c>
      <c r="I9" s="92">
        <v>20</v>
      </c>
      <c r="J9" s="92"/>
    </row>
    <row r="10" spans="1:10" ht="25.5">
      <c r="A10" s="5">
        <v>7</v>
      </c>
      <c r="B10" s="94" t="s">
        <v>88</v>
      </c>
      <c r="C10" s="5">
        <v>0</v>
      </c>
      <c r="D10" s="92">
        <f aca="true" t="shared" si="1" ref="D10:I10">1/POWER((1+D9/100),D3)</f>
        <v>1</v>
      </c>
      <c r="E10" s="92">
        <f t="shared" si="1"/>
        <v>0.8333333333333334</v>
      </c>
      <c r="F10" s="92">
        <f t="shared" si="1"/>
        <v>0.6944444444444444</v>
      </c>
      <c r="G10" s="92">
        <f t="shared" si="1"/>
        <v>0.5787037037037037</v>
      </c>
      <c r="H10" s="92">
        <f t="shared" si="1"/>
        <v>0.4822530864197531</v>
      </c>
      <c r="I10" s="92">
        <f t="shared" si="1"/>
        <v>0.4018775720164609</v>
      </c>
      <c r="J10" s="92"/>
    </row>
    <row r="11" spans="1:10" ht="25.5">
      <c r="A11" s="5">
        <v>8</v>
      </c>
      <c r="B11" s="94" t="s">
        <v>89</v>
      </c>
      <c r="C11" s="5" t="s">
        <v>71</v>
      </c>
      <c r="D11" s="92">
        <f aca="true" t="shared" si="2" ref="D11:I11">D6*D10</f>
        <v>-17500.033333333333</v>
      </c>
      <c r="E11" s="92">
        <f t="shared" si="2"/>
        <v>-8409.800025757575</v>
      </c>
      <c r="F11" s="92">
        <f t="shared" si="2"/>
        <v>9732.637843434346</v>
      </c>
      <c r="G11" s="92">
        <f t="shared" si="2"/>
        <v>7270.807916666669</v>
      </c>
      <c r="H11" s="92">
        <f t="shared" si="2"/>
        <v>6368.87759189114</v>
      </c>
      <c r="I11" s="92">
        <f t="shared" si="2"/>
        <v>8945.901772840285</v>
      </c>
      <c r="J11" s="92">
        <f t="shared" si="0"/>
        <v>6408.3917657415295</v>
      </c>
    </row>
    <row r="12" spans="1:10" ht="38.25">
      <c r="A12" s="5">
        <v>9</v>
      </c>
      <c r="B12" s="94" t="s">
        <v>90</v>
      </c>
      <c r="C12" s="5" t="s">
        <v>71</v>
      </c>
      <c r="D12" s="92">
        <f>D11</f>
        <v>-17500.033333333333</v>
      </c>
      <c r="E12" s="92">
        <f>D12+E11</f>
        <v>-25909.83335909091</v>
      </c>
      <c r="F12" s="92">
        <f>E12+F11</f>
        <v>-16177.195515656564</v>
      </c>
      <c r="G12" s="92">
        <f>F12+G11</f>
        <v>-8906.387598989895</v>
      </c>
      <c r="H12" s="92">
        <f>G12+H11</f>
        <v>-2537.5100070987555</v>
      </c>
      <c r="I12" s="92">
        <f>H12+I11</f>
        <v>6408.3917657415295</v>
      </c>
      <c r="J12" s="22"/>
    </row>
    <row r="13" spans="1:10" ht="38.25">
      <c r="A13" s="5">
        <v>10</v>
      </c>
      <c r="B13" s="94" t="s">
        <v>91</v>
      </c>
      <c r="C13" s="5" t="s">
        <v>10</v>
      </c>
      <c r="D13" s="92"/>
      <c r="E13" s="92"/>
      <c r="F13" s="92"/>
      <c r="G13" s="92"/>
      <c r="H13" s="92"/>
      <c r="I13" s="92">
        <v>4.28</v>
      </c>
      <c r="J13" s="22"/>
    </row>
    <row r="14" spans="1:10" ht="25.5">
      <c r="A14" s="5">
        <v>11</v>
      </c>
      <c r="B14" s="94" t="s">
        <v>92</v>
      </c>
      <c r="C14" s="5" t="s">
        <v>94</v>
      </c>
      <c r="D14" s="92"/>
      <c r="E14" s="92"/>
      <c r="F14" s="92"/>
      <c r="G14" s="92"/>
      <c r="H14" s="92"/>
      <c r="I14" s="92">
        <v>28.93</v>
      </c>
      <c r="J14" s="92">
        <v>28.93</v>
      </c>
    </row>
    <row r="15" spans="1:10" ht="25.5">
      <c r="A15" s="5">
        <v>12</v>
      </c>
      <c r="B15" s="94" t="s">
        <v>93</v>
      </c>
      <c r="C15" s="5" t="s">
        <v>71</v>
      </c>
      <c r="D15" s="92">
        <f>'1 и 2'!D7*8!D10</f>
        <v>17500</v>
      </c>
      <c r="E15" s="92">
        <f>'1 и 2'!E7*8!E10</f>
        <v>14583.333333333334</v>
      </c>
      <c r="F15" s="92">
        <f>'1 и 2'!F7*8!F10</f>
        <v>0</v>
      </c>
      <c r="G15" s="92">
        <f>'1 и 2'!G7*8!G10</f>
        <v>0</v>
      </c>
      <c r="H15" s="92">
        <f>'1 и 2'!H7*8!H10</f>
        <v>0</v>
      </c>
      <c r="I15" s="92">
        <f>'1 и 2'!I7*8!I10</f>
        <v>0</v>
      </c>
      <c r="J15" s="92">
        <f>SUM(D15:I15)</f>
        <v>32083.333333333336</v>
      </c>
    </row>
    <row r="16" spans="1:10" ht="63.75">
      <c r="A16" s="5">
        <v>13</v>
      </c>
      <c r="B16" s="94" t="s">
        <v>149</v>
      </c>
      <c r="C16" s="5" t="s">
        <v>71</v>
      </c>
      <c r="D16" s="92"/>
      <c r="E16" s="92"/>
      <c r="F16" s="92">
        <f>(F6+F15)*POWER((1+F9/100),6-F3)</f>
        <v>29061.500878289466</v>
      </c>
      <c r="G16" s="92">
        <f>(G6+G15)*POWER((1+G9/100),6-G3)</f>
        <v>21710.516106240008</v>
      </c>
      <c r="H16" s="92">
        <f>(H6+H15)*POWER((1+H9/100),6-H3)</f>
        <v>19017.36658734547</v>
      </c>
      <c r="I16" s="92">
        <f>(I6+I15)*POWER((1+I9/100),6-I3)</f>
        <v>26712.319559272724</v>
      </c>
      <c r="J16" s="22"/>
    </row>
    <row r="17" spans="1:10" ht="63.75">
      <c r="A17" s="5">
        <v>14</v>
      </c>
      <c r="B17" s="95" t="s">
        <v>144</v>
      </c>
      <c r="C17" s="5" t="s">
        <v>71</v>
      </c>
      <c r="D17" s="92">
        <f aca="true" t="shared" si="3" ref="D17:I17">D4*D10</f>
        <v>0</v>
      </c>
      <c r="E17" s="92">
        <f t="shared" si="3"/>
        <v>3067.2732065656605</v>
      </c>
      <c r="F17" s="92">
        <f t="shared" si="3"/>
        <v>8270.238853535357</v>
      </c>
      <c r="G17" s="92">
        <f t="shared" si="3"/>
        <v>7270.807916666669</v>
      </c>
      <c r="H17" s="92">
        <f t="shared" si="3"/>
        <v>6368.87759189114</v>
      </c>
      <c r="I17" s="92">
        <f t="shared" si="3"/>
        <v>5558.370024512096</v>
      </c>
      <c r="J17" s="22"/>
    </row>
    <row r="18" spans="1:10" ht="38.25">
      <c r="A18" s="5">
        <v>15</v>
      </c>
      <c r="B18" s="95" t="s">
        <v>145</v>
      </c>
      <c r="C18" s="5">
        <v>0</v>
      </c>
      <c r="D18" s="92">
        <f>D17/$J$15</f>
        <v>0</v>
      </c>
      <c r="E18" s="92">
        <f>(D17+E17)/$J$15</f>
        <v>0.09560332072412447</v>
      </c>
      <c r="F18" s="92">
        <f>(D17+E17+F17)/$J$15</f>
        <v>0.3533769992758758</v>
      </c>
      <c r="G18" s="92">
        <f>(D17+E17+F17+G17)/$J$15</f>
        <v>0.5799995836914603</v>
      </c>
      <c r="H18" s="92">
        <f>(D17+E17+F17+G17+H17)/$J$15</f>
        <v>0.7785100540880673</v>
      </c>
      <c r="I18" s="92">
        <f>(D17+E17+F17+G17+H17+I17)/$J$15</f>
        <v>0.9517579509559767</v>
      </c>
      <c r="J18" s="22"/>
    </row>
    <row r="19" spans="1:10" ht="25.5">
      <c r="A19" s="5">
        <v>16</v>
      </c>
      <c r="B19" s="95" t="s">
        <v>146</v>
      </c>
      <c r="C19" s="5" t="s">
        <v>71</v>
      </c>
      <c r="D19" s="92">
        <f>(7!D4+7!D14)*8!D10</f>
        <v>0</v>
      </c>
      <c r="E19" s="92">
        <f>(E23+E24)*E10</f>
        <v>31430.555555555562</v>
      </c>
      <c r="F19" s="92">
        <f>(F23+F24)*F10</f>
        <v>50694.444444444445</v>
      </c>
      <c r="G19" s="92">
        <f>(G23+G24)*G10</f>
        <v>44005.59413580247</v>
      </c>
      <c r="H19" s="92">
        <f>(H23+H24)*H10</f>
        <v>38138.181584362144</v>
      </c>
      <c r="I19" s="92">
        <f>(I23+I24)*I10</f>
        <v>38132.379476916154</v>
      </c>
      <c r="J19" s="92">
        <f>SUM(D19:I19)</f>
        <v>202401.15519708078</v>
      </c>
    </row>
    <row r="20" spans="1:10" ht="25.5">
      <c r="A20" s="5">
        <v>17</v>
      </c>
      <c r="B20" s="95" t="s">
        <v>147</v>
      </c>
      <c r="C20" s="5" t="s">
        <v>71</v>
      </c>
      <c r="D20" s="92">
        <f>(7!D10+7!D11+7!D16+7!D19+7!D20+7!D22)*8!D10</f>
        <v>17500.033333333333</v>
      </c>
      <c r="E20" s="92">
        <f>(7!E10+7!E11+7!E16+7!E19+7!E20+7!E22)*8!E10</f>
        <v>39840.35558131314</v>
      </c>
      <c r="F20" s="92">
        <f>(7!F10+7!F11+7!F16+7!F19+7!F20+7!F22)*8!F10</f>
        <v>40961.806601010096</v>
      </c>
      <c r="G20" s="92">
        <f>(7!G10+7!G11+7!G16+7!G19+7!G20+7!G22)*8!G10</f>
        <v>36734.78621913581</v>
      </c>
      <c r="H20" s="92">
        <f>(7!H10+7!H11+7!H16+7!H19+7!H20+7!H22)*8!H10</f>
        <v>31769.303992471006</v>
      </c>
      <c r="I20" s="92">
        <f>(7!I10+7!I11+7!I16+7!I19+7!I20+7!I22)*8!I10</f>
        <v>29186.47770407587</v>
      </c>
      <c r="J20" s="92">
        <f>SUM(D20:I20)</f>
        <v>195992.76343133926</v>
      </c>
    </row>
    <row r="21" spans="1:10" ht="38.25">
      <c r="A21" s="5">
        <v>18</v>
      </c>
      <c r="B21" s="97" t="s">
        <v>151</v>
      </c>
      <c r="C21" s="5">
        <v>0</v>
      </c>
      <c r="D21" s="92">
        <f aca="true" t="shared" si="4" ref="D21:J21">D19/D20</f>
        <v>0</v>
      </c>
      <c r="E21" s="92">
        <f t="shared" si="4"/>
        <v>0.7889125259288062</v>
      </c>
      <c r="F21" s="92">
        <f t="shared" si="4"/>
        <v>1.2376027487809669</v>
      </c>
      <c r="G21" s="92">
        <f t="shared" si="4"/>
        <v>1.1979270513048248</v>
      </c>
      <c r="H21" s="92">
        <f t="shared" si="4"/>
        <v>1.2004726824799339</v>
      </c>
      <c r="I21" s="92">
        <f t="shared" si="4"/>
        <v>1.3065084407767025</v>
      </c>
      <c r="J21" s="92">
        <f t="shared" si="4"/>
        <v>1.0326970835736315</v>
      </c>
    </row>
    <row r="22" spans="1:9" ht="12.75">
      <c r="A22" s="45"/>
      <c r="D22" s="96"/>
      <c r="E22" s="96"/>
      <c r="F22" s="96"/>
      <c r="G22" s="96"/>
      <c r="H22" s="96"/>
      <c r="I22" s="96"/>
    </row>
    <row r="23" spans="1:10" ht="12.75">
      <c r="A23" s="45"/>
      <c r="D23" s="96"/>
      <c r="E23" s="96">
        <v>37716.66666666667</v>
      </c>
      <c r="F23" s="96">
        <v>73000</v>
      </c>
      <c r="G23" s="96">
        <v>76041.66666666667</v>
      </c>
      <c r="H23" s="96">
        <v>79083.33333333334</v>
      </c>
      <c r="I23" s="96">
        <v>82125</v>
      </c>
      <c r="J23" s="1">
        <v>347966.6666666667</v>
      </c>
    </row>
    <row r="24" spans="9:10" ht="12.75">
      <c r="I24" s="1">
        <v>12760.5625</v>
      </c>
      <c r="J24" s="1">
        <v>12760.5625</v>
      </c>
    </row>
  </sheetData>
  <mergeCells count="4">
    <mergeCell ref="B2:B3"/>
    <mergeCell ref="J2:J3"/>
    <mergeCell ref="A2:A3"/>
    <mergeCell ref="C2: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6">
      <selection activeCell="C13" sqref="C13"/>
    </sheetView>
  </sheetViews>
  <sheetFormatPr defaultColWidth="9.140625" defaultRowHeight="12.75"/>
  <cols>
    <col min="1" max="1" width="3.00390625" style="0" customWidth="1"/>
    <col min="2" max="2" width="21.57421875" style="0" customWidth="1"/>
    <col min="3" max="3" width="9.7109375" style="0" bestFit="1" customWidth="1"/>
    <col min="4" max="4" width="9.7109375" style="0" customWidth="1"/>
    <col min="5" max="7" width="8.140625" style="0" customWidth="1"/>
    <col min="9" max="9" width="9.7109375" style="0" bestFit="1" customWidth="1"/>
  </cols>
  <sheetData>
    <row r="1" ht="13.5" thickBot="1">
      <c r="A1" s="80" t="s">
        <v>109</v>
      </c>
    </row>
    <row r="2" spans="1:9" ht="12.75">
      <c r="A2" s="159"/>
      <c r="B2" s="161" t="s">
        <v>3</v>
      </c>
      <c r="C2" s="81">
        <v>2002</v>
      </c>
      <c r="D2" s="81">
        <v>2003</v>
      </c>
      <c r="E2" s="81">
        <v>2004</v>
      </c>
      <c r="F2" s="81">
        <v>2005</v>
      </c>
      <c r="G2" s="81">
        <v>2006</v>
      </c>
      <c r="H2" s="81">
        <v>2007</v>
      </c>
      <c r="I2" s="163" t="s">
        <v>33</v>
      </c>
    </row>
    <row r="3" spans="1:9" ht="13.5" thickBot="1">
      <c r="A3" s="160"/>
      <c r="B3" s="162"/>
      <c r="C3" s="82">
        <v>0</v>
      </c>
      <c r="D3" s="82">
        <v>1</v>
      </c>
      <c r="E3" s="82">
        <v>2</v>
      </c>
      <c r="F3" s="82">
        <v>3</v>
      </c>
      <c r="G3" s="82">
        <v>4</v>
      </c>
      <c r="H3" s="82">
        <v>5</v>
      </c>
      <c r="I3" s="164"/>
    </row>
    <row r="4" spans="1:9" ht="25.5">
      <c r="A4" s="98">
        <v>1</v>
      </c>
      <c r="B4" s="79" t="s">
        <v>110</v>
      </c>
      <c r="C4" s="83">
        <f>4!D4</f>
        <v>0</v>
      </c>
      <c r="D4" s="89">
        <f>4!E4</f>
        <v>620</v>
      </c>
      <c r="E4" s="89">
        <f>4!F4</f>
        <v>1200</v>
      </c>
      <c r="F4" s="89">
        <f>4!G4</f>
        <v>1250</v>
      </c>
      <c r="G4" s="89">
        <f>4!H4</f>
        <v>1300</v>
      </c>
      <c r="H4" s="89">
        <f>4!I4</f>
        <v>1350</v>
      </c>
      <c r="I4" s="89">
        <f>SUM(C4:H4)</f>
        <v>5720</v>
      </c>
    </row>
    <row r="5" spans="1:9" ht="25.5">
      <c r="A5" s="99">
        <v>2</v>
      </c>
      <c r="B5" s="85" t="s">
        <v>111</v>
      </c>
      <c r="C5" s="84">
        <f>4!D17*5/6</f>
        <v>0</v>
      </c>
      <c r="D5" s="87">
        <f>4!E17*5/6</f>
        <v>60.833333333333336</v>
      </c>
      <c r="E5" s="87">
        <f>4!F17*5/6</f>
        <v>60.833333333333336</v>
      </c>
      <c r="F5" s="87">
        <f>4!G17*5/6</f>
        <v>60.833333333333336</v>
      </c>
      <c r="G5" s="87">
        <f>4!H17*5/6</f>
        <v>60.833333333333336</v>
      </c>
      <c r="H5" s="87">
        <f>4!I17*5/6</f>
        <v>60.833333333333336</v>
      </c>
      <c r="I5" s="84"/>
    </row>
    <row r="6" spans="1:9" ht="38.25">
      <c r="A6" s="98">
        <v>3</v>
      </c>
      <c r="B6" s="85" t="s">
        <v>112</v>
      </c>
      <c r="C6" s="84">
        <v>0</v>
      </c>
      <c r="D6" s="87">
        <f>'5 И 6'!E16/4!E4</f>
        <v>52.84738514173998</v>
      </c>
      <c r="E6" s="87">
        <f>'5 И 6'!F16/4!F4</f>
        <v>48.10510909090909</v>
      </c>
      <c r="F6" s="87">
        <f>'5 И 6'!G16/4!G4</f>
        <v>47.97162933333333</v>
      </c>
      <c r="G6" s="87">
        <f>'5 И 6'!H16/4!H4</f>
        <v>47.86082983682983</v>
      </c>
      <c r="H6" s="87">
        <f>'5 И 6'!I16/4!I4</f>
        <v>47.77583007856341</v>
      </c>
      <c r="I6" s="84"/>
    </row>
    <row r="7" spans="1:9" ht="25.5">
      <c r="A7" s="99">
        <v>4</v>
      </c>
      <c r="B7" s="85" t="s">
        <v>113</v>
      </c>
      <c r="C7" s="84">
        <f aca="true" t="shared" si="0" ref="C7:H7">C5-C6</f>
        <v>0</v>
      </c>
      <c r="D7" s="87">
        <f t="shared" si="0"/>
        <v>7.985948191593359</v>
      </c>
      <c r="E7" s="87">
        <f t="shared" si="0"/>
        <v>12.728224242424247</v>
      </c>
      <c r="F7" s="87">
        <f t="shared" si="0"/>
        <v>12.861704000000003</v>
      </c>
      <c r="G7" s="87">
        <f t="shared" si="0"/>
        <v>12.972503496503506</v>
      </c>
      <c r="H7" s="87">
        <f t="shared" si="0"/>
        <v>13.057503254769927</v>
      </c>
      <c r="I7" s="84"/>
    </row>
    <row r="8" spans="1:9" ht="25.5">
      <c r="A8" s="98">
        <v>5</v>
      </c>
      <c r="B8" s="85" t="s">
        <v>114</v>
      </c>
      <c r="C8" s="84">
        <f>'5 И 6'!D17</f>
        <v>0</v>
      </c>
      <c r="D8" s="87">
        <f>'5 И 6'!E17</f>
        <v>2027.1064999999999</v>
      </c>
      <c r="E8" s="87">
        <f>'5 И 6'!F17</f>
        <v>3441.706</v>
      </c>
      <c r="F8" s="87">
        <f>'5 И 6'!G17</f>
        <v>3383.372</v>
      </c>
      <c r="G8" s="87">
        <f>'5 И 6'!H17</f>
        <v>3325.038</v>
      </c>
      <c r="H8" s="87">
        <f>'5 И 6'!I17</f>
        <v>3266.7039999999997</v>
      </c>
      <c r="I8" s="84"/>
    </row>
    <row r="9" spans="1:9" ht="25.5">
      <c r="A9" s="99">
        <v>6</v>
      </c>
      <c r="B9" s="85" t="s">
        <v>115</v>
      </c>
      <c r="C9" s="84">
        <v>0</v>
      </c>
      <c r="D9" s="87">
        <v>24</v>
      </c>
      <c r="E9" s="87">
        <v>24</v>
      </c>
      <c r="F9" s="87">
        <v>24</v>
      </c>
      <c r="G9" s="87">
        <v>24</v>
      </c>
      <c r="H9" s="87">
        <v>24</v>
      </c>
      <c r="I9" s="84"/>
    </row>
    <row r="10" spans="1:9" ht="12.75">
      <c r="A10" s="98">
        <v>7</v>
      </c>
      <c r="B10" s="85" t="s">
        <v>116</v>
      </c>
      <c r="C10" s="84">
        <v>0</v>
      </c>
      <c r="D10" s="87">
        <f>'1 и 2'!E16</f>
        <v>1458.35</v>
      </c>
      <c r="E10" s="87">
        <f>'1 и 2'!F16</f>
        <v>2916.7</v>
      </c>
      <c r="F10" s="87">
        <f>'1 и 2'!G16</f>
        <v>2916.7</v>
      </c>
      <c r="G10" s="87">
        <f>'1 и 2'!H16</f>
        <v>2916.7</v>
      </c>
      <c r="H10" s="87">
        <f>'1 и 2'!I16</f>
        <v>2916.7</v>
      </c>
      <c r="I10" s="87">
        <f>SUM(D10:H10)</f>
        <v>13125.149999999998</v>
      </c>
    </row>
    <row r="11" spans="1:9" ht="38.25">
      <c r="A11" s="99">
        <v>8</v>
      </c>
      <c r="B11" s="85" t="s">
        <v>117</v>
      </c>
      <c r="C11" s="87">
        <f>8!D17</f>
        <v>0</v>
      </c>
      <c r="D11" s="87">
        <f>8!E17</f>
        <v>3067.2732065656605</v>
      </c>
      <c r="E11" s="87">
        <f>8!F17</f>
        <v>8270.238853535357</v>
      </c>
      <c r="F11" s="87">
        <f>8!G17</f>
        <v>7270.807916666669</v>
      </c>
      <c r="G11" s="87">
        <f>8!H17</f>
        <v>6368.87759189114</v>
      </c>
      <c r="H11" s="87">
        <f>8!I17</f>
        <v>5558.370024512096</v>
      </c>
      <c r="I11" s="87">
        <f>SUM(D11:H11)</f>
        <v>30535.567593170923</v>
      </c>
    </row>
    <row r="12" spans="1:9" ht="38.25">
      <c r="A12" s="98">
        <v>9</v>
      </c>
      <c r="B12" s="85" t="s">
        <v>118</v>
      </c>
      <c r="C12" s="87">
        <f>8!D5*8!D10</f>
        <v>-17500.033333333333</v>
      </c>
      <c r="D12" s="87">
        <f>8!E5*8!E10</f>
        <v>-11477.073232323235</v>
      </c>
      <c r="E12" s="87">
        <f>8!F5*8!F10</f>
        <v>1462.3989898989898</v>
      </c>
      <c r="F12" s="87">
        <f>8!G5*8!G10</f>
        <v>0</v>
      </c>
      <c r="G12" s="87">
        <f>8!H5*8!H10</f>
        <v>0</v>
      </c>
      <c r="H12" s="87">
        <f>8!I5*8!I10</f>
        <v>3387.5317483281888</v>
      </c>
      <c r="I12" s="87">
        <f>SUM(C12:H12)</f>
        <v>-24127.17582742939</v>
      </c>
    </row>
    <row r="13" spans="1:9" ht="25.5">
      <c r="A13" s="99">
        <v>10</v>
      </c>
      <c r="B13" s="85" t="s">
        <v>119</v>
      </c>
      <c r="C13" s="84">
        <v>0</v>
      </c>
      <c r="D13" s="87"/>
      <c r="E13" s="87"/>
      <c r="F13" s="87"/>
      <c r="G13" s="87"/>
      <c r="H13" s="87">
        <f>3!H16</f>
        <v>12760.5625</v>
      </c>
      <c r="I13" s="84"/>
    </row>
    <row r="14" spans="1:9" ht="25.5">
      <c r="A14" s="98">
        <v>11</v>
      </c>
      <c r="B14" s="85" t="s">
        <v>120</v>
      </c>
      <c r="C14" s="84"/>
      <c r="D14" s="87"/>
      <c r="E14" s="87"/>
      <c r="F14" s="87"/>
      <c r="G14" s="87"/>
      <c r="H14" s="87">
        <f>3!H11</f>
        <v>4331.299500000001</v>
      </c>
      <c r="I14" s="84"/>
    </row>
    <row r="15" spans="1:9" ht="25.5">
      <c r="A15" s="99">
        <v>12</v>
      </c>
      <c r="B15" s="85" t="s">
        <v>121</v>
      </c>
      <c r="C15" s="87">
        <f>8!D9</f>
        <v>20</v>
      </c>
      <c r="D15" s="87">
        <f>8!E9</f>
        <v>20</v>
      </c>
      <c r="E15" s="87">
        <f>8!F9</f>
        <v>20</v>
      </c>
      <c r="F15" s="87">
        <f>8!G9</f>
        <v>20</v>
      </c>
      <c r="G15" s="87">
        <f>8!H9</f>
        <v>20</v>
      </c>
      <c r="H15" s="87">
        <f>8!I9</f>
        <v>20</v>
      </c>
      <c r="I15" s="84"/>
    </row>
    <row r="16" spans="1:9" ht="38.25">
      <c r="A16" s="98">
        <v>13</v>
      </c>
      <c r="B16" s="85" t="s">
        <v>122</v>
      </c>
      <c r="C16" s="87">
        <f>8!D10</f>
        <v>1</v>
      </c>
      <c r="D16" s="87">
        <f>8!E10</f>
        <v>0.8333333333333334</v>
      </c>
      <c r="E16" s="87">
        <f>8!F10</f>
        <v>0.6944444444444444</v>
      </c>
      <c r="F16" s="87">
        <f>8!G10</f>
        <v>0.5787037037037037</v>
      </c>
      <c r="G16" s="87">
        <f>8!H10</f>
        <v>0.4822530864197531</v>
      </c>
      <c r="H16" s="87">
        <f>8!I10</f>
        <v>0.4018775720164609</v>
      </c>
      <c r="I16" s="84"/>
    </row>
    <row r="17" spans="1:9" ht="25.5">
      <c r="A17" s="99">
        <v>14</v>
      </c>
      <c r="B17" s="85" t="s">
        <v>123</v>
      </c>
      <c r="C17" s="84"/>
      <c r="D17" s="87"/>
      <c r="E17" s="87"/>
      <c r="F17" s="87"/>
      <c r="G17" s="87"/>
      <c r="H17" s="87"/>
      <c r="I17" s="87">
        <v>2.99</v>
      </c>
    </row>
  </sheetData>
  <mergeCells count="3">
    <mergeCell ref="A2:A3"/>
    <mergeCell ref="B2:B3"/>
    <mergeCell ref="I2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2" sqref="A2:I10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5.00390625" style="0" customWidth="1"/>
    <col min="4" max="9" width="8.140625" style="0" customWidth="1"/>
  </cols>
  <sheetData>
    <row r="1" ht="12.75">
      <c r="A1" s="80" t="s">
        <v>124</v>
      </c>
    </row>
    <row r="2" spans="1:9" ht="12.75">
      <c r="A2" s="165"/>
      <c r="B2" s="165" t="s">
        <v>3</v>
      </c>
      <c r="C2" s="86">
        <v>2002</v>
      </c>
      <c r="D2" s="86">
        <v>2003</v>
      </c>
      <c r="E2" s="86">
        <v>2004</v>
      </c>
      <c r="F2" s="86">
        <v>2005</v>
      </c>
      <c r="G2" s="86">
        <v>2006</v>
      </c>
      <c r="H2" s="86">
        <v>2007</v>
      </c>
      <c r="I2" s="165" t="s">
        <v>33</v>
      </c>
    </row>
    <row r="3" spans="1:9" ht="12.75">
      <c r="A3" s="166"/>
      <c r="B3" s="166"/>
      <c r="C3" s="86">
        <v>0</v>
      </c>
      <c r="D3" s="86">
        <v>1</v>
      </c>
      <c r="E3" s="86">
        <v>2</v>
      </c>
      <c r="F3" s="86">
        <v>3</v>
      </c>
      <c r="G3" s="86">
        <v>4</v>
      </c>
      <c r="H3" s="86">
        <v>5</v>
      </c>
      <c r="I3" s="166"/>
    </row>
    <row r="4" spans="1:9" ht="25.5">
      <c r="A4" s="99">
        <v>1</v>
      </c>
      <c r="B4" s="85" t="s">
        <v>110</v>
      </c>
      <c r="C4" s="84">
        <f>9!C4*9!C16</f>
        <v>0</v>
      </c>
      <c r="D4" s="87">
        <f>9!D4*9!D16</f>
        <v>516.6666666666667</v>
      </c>
      <c r="E4" s="87">
        <f>9!E4*9!E16</f>
        <v>833.3333333333333</v>
      </c>
      <c r="F4" s="87">
        <f>9!F4*9!F16</f>
        <v>723.3796296296297</v>
      </c>
      <c r="G4" s="87">
        <f>9!G4*9!G16</f>
        <v>626.9290123456791</v>
      </c>
      <c r="H4" s="87">
        <f>9!H4*9!H16</f>
        <v>542.5347222222222</v>
      </c>
      <c r="I4" s="87">
        <f>SUM(D4:H4)/2.99</f>
        <v>1084.5629980593746</v>
      </c>
    </row>
    <row r="5" spans="1:9" ht="25.5">
      <c r="A5" s="99">
        <v>2</v>
      </c>
      <c r="B5" s="85" t="s">
        <v>125</v>
      </c>
      <c r="C5" s="84">
        <f>9!C5*9!C16</f>
        <v>0</v>
      </c>
      <c r="D5" s="87">
        <f>9!D5*9!D16</f>
        <v>50.69444444444445</v>
      </c>
      <c r="E5" s="87">
        <f>9!E5*9!E16</f>
        <v>42.245370370370374</v>
      </c>
      <c r="F5" s="87">
        <f>9!F5*9!F16</f>
        <v>35.204475308641975</v>
      </c>
      <c r="G5" s="87">
        <f>9!G5*9!G16</f>
        <v>29.33706275720165</v>
      </c>
      <c r="H5" s="87">
        <f>9!H5*9!H16</f>
        <v>24.44755229766804</v>
      </c>
      <c r="I5" s="87">
        <f aca="true" t="shared" si="0" ref="I5:I10">SUM(D5:H5)/2.99</f>
        <v>60.84578768505902</v>
      </c>
    </row>
    <row r="6" spans="1:9" ht="38.25">
      <c r="A6" s="99">
        <v>3</v>
      </c>
      <c r="B6" s="85" t="s">
        <v>126</v>
      </c>
      <c r="C6" s="84">
        <f>9!C6*9!C16</f>
        <v>0</v>
      </c>
      <c r="D6" s="87">
        <f>9!D6*9!D16</f>
        <v>44.03948761811665</v>
      </c>
      <c r="E6" s="87">
        <f>9!E6*9!E16</f>
        <v>33.40632575757576</v>
      </c>
      <c r="F6" s="87">
        <f>9!F6*9!F16</f>
        <v>27.761359567901234</v>
      </c>
      <c r="G6" s="87">
        <f>9!G6*9!G16</f>
        <v>23.081032907421793</v>
      </c>
      <c r="H6" s="87">
        <f>9!H6*9!H16</f>
        <v>19.200034593044066</v>
      </c>
      <c r="I6" s="87">
        <f t="shared" si="0"/>
        <v>49.327170717076754</v>
      </c>
    </row>
    <row r="7" spans="1:9" ht="25.5">
      <c r="A7" s="99">
        <v>4</v>
      </c>
      <c r="B7" s="85" t="s">
        <v>127</v>
      </c>
      <c r="C7" s="84">
        <f>9!C7*9!C16</f>
        <v>0</v>
      </c>
      <c r="D7" s="87">
        <f>9!D7*9!D16</f>
        <v>6.654956826327799</v>
      </c>
      <c r="E7" s="87">
        <f>9!E7*9!E16</f>
        <v>8.839044612794616</v>
      </c>
      <c r="F7" s="87">
        <f>9!F7*9!F16</f>
        <v>7.443115740740743</v>
      </c>
      <c r="G7" s="87">
        <f>9!G7*9!G16</f>
        <v>6.256029849779855</v>
      </c>
      <c r="H7" s="87">
        <f>9!H7*9!H16</f>
        <v>5.247517704623974</v>
      </c>
      <c r="I7" s="87">
        <f t="shared" si="0"/>
        <v>11.51861696798227</v>
      </c>
    </row>
    <row r="8" spans="1:9" ht="25.5">
      <c r="A8" s="99">
        <v>5</v>
      </c>
      <c r="B8" s="85" t="s">
        <v>128</v>
      </c>
      <c r="C8" s="84">
        <f>9!C8*9!C16</f>
        <v>0</v>
      </c>
      <c r="D8" s="87">
        <f>9!D8*9!D16</f>
        <v>1689.2554166666666</v>
      </c>
      <c r="E8" s="87">
        <f>9!E8*9!E16</f>
        <v>2390.073611111111</v>
      </c>
      <c r="F8" s="87">
        <f>9!F8*9!F16</f>
        <v>1957.9699074074074</v>
      </c>
      <c r="G8" s="87">
        <f>9!G8*9!G16</f>
        <v>1603.509837962963</v>
      </c>
      <c r="H8" s="87">
        <f>9!H8*9!H16</f>
        <v>1312.8150720164608</v>
      </c>
      <c r="I8" s="87">
        <f t="shared" si="0"/>
        <v>2994.523025138665</v>
      </c>
    </row>
    <row r="9" spans="1:9" ht="12.75">
      <c r="A9" s="99">
        <v>6</v>
      </c>
      <c r="B9" s="85" t="s">
        <v>129</v>
      </c>
      <c r="C9" s="84">
        <v>24</v>
      </c>
      <c r="D9" s="90">
        <v>24</v>
      </c>
      <c r="E9" s="90">
        <v>24</v>
      </c>
      <c r="F9" s="90">
        <v>24</v>
      </c>
      <c r="G9" s="90">
        <v>24</v>
      </c>
      <c r="H9" s="90">
        <v>24</v>
      </c>
      <c r="I9" s="90"/>
    </row>
    <row r="10" spans="1:9" ht="12.75">
      <c r="A10" s="99">
        <v>7</v>
      </c>
      <c r="B10" s="85" t="s">
        <v>130</v>
      </c>
      <c r="C10" s="84">
        <f>9!C10*9!C16</f>
        <v>0</v>
      </c>
      <c r="D10" s="87">
        <f>9!D10*9!D16</f>
        <v>1215.2916666666667</v>
      </c>
      <c r="E10" s="87">
        <f>9!E10*9!E16</f>
        <v>2025.4861111111109</v>
      </c>
      <c r="F10" s="87">
        <f>9!F10*9!F16</f>
        <v>1687.9050925925926</v>
      </c>
      <c r="G10" s="87">
        <f>9!G10*9!G16</f>
        <v>1406.5875771604938</v>
      </c>
      <c r="H10" s="87">
        <f>9!H10*9!H16</f>
        <v>1172.1563143004114</v>
      </c>
      <c r="I10" s="87">
        <f t="shared" si="0"/>
        <v>2510.8450708465803</v>
      </c>
    </row>
  </sheetData>
  <mergeCells count="3">
    <mergeCell ref="A2:A3"/>
    <mergeCell ref="B2:B3"/>
    <mergeCell ref="I2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21" sqref="D21"/>
    </sheetView>
  </sheetViews>
  <sheetFormatPr defaultColWidth="9.140625" defaultRowHeight="12.75"/>
  <cols>
    <col min="1" max="1" width="4.8515625" style="0" customWidth="1"/>
    <col min="2" max="2" width="48.28125" style="0" customWidth="1"/>
    <col min="3" max="3" width="12.8515625" style="0" customWidth="1"/>
  </cols>
  <sheetData>
    <row r="1" ht="12.75">
      <c r="A1" s="80" t="s">
        <v>131</v>
      </c>
    </row>
    <row r="2" spans="1:7" s="103" customFormat="1" ht="15.75">
      <c r="A2" s="100"/>
      <c r="B2" s="106" t="s">
        <v>3</v>
      </c>
      <c r="C2" s="100"/>
      <c r="G2" s="103">
        <v>30535.567593170923</v>
      </c>
    </row>
    <row r="3" spans="1:3" s="103" customFormat="1" ht="15">
      <c r="A3" s="100">
        <v>1</v>
      </c>
      <c r="B3" s="104" t="s">
        <v>132</v>
      </c>
      <c r="C3" s="105">
        <f>(-(9!I12)-'10'!I10*9!I17)/('10'!I7*0.76*9!I17)+'10'!I8/'10'!I7</f>
        <v>894.9221787315074</v>
      </c>
    </row>
    <row r="4" spans="1:7" s="103" customFormat="1" ht="15">
      <c r="A4" s="100">
        <v>2</v>
      </c>
      <c r="B4" s="104" t="s">
        <v>133</v>
      </c>
      <c r="C4" s="105">
        <f>(-9!I12-'10'!I10*9!I17)/('10'!I4*0.76*9!I17)+('10'!I8/'10'!I4)+'10'!I6</f>
        <v>58.831704627421416</v>
      </c>
      <c r="G4" s="103">
        <v>347966.6666666667</v>
      </c>
    </row>
    <row r="5" spans="1:3" s="103" customFormat="1" ht="30">
      <c r="A5" s="100">
        <v>3</v>
      </c>
      <c r="B5" s="104" t="s">
        <v>134</v>
      </c>
      <c r="C5" s="105">
        <f>'10'!I5-((-9!I12-'10'!I10*9!I17)/('10'!I4*0.76*9!I17))+'10'!I8/'10'!I4</f>
        <v>56.86333599676473</v>
      </c>
    </row>
    <row r="6" spans="1:7" s="103" customFormat="1" ht="15">
      <c r="A6" s="100">
        <v>4</v>
      </c>
      <c r="B6" s="104" t="s">
        <v>135</v>
      </c>
      <c r="C6" s="105">
        <f>'10'!I4*'10'!I7+(('10'!I10*9!I17+9!I12)/(9!I17*0.76))</f>
        <v>5178.922984470697</v>
      </c>
      <c r="G6" s="103">
        <f>POWER((1+20/100),6)</f>
        <v>2.9859839999999997</v>
      </c>
    </row>
    <row r="7" spans="1:3" s="103" customFormat="1" ht="15">
      <c r="A7" s="100">
        <v>5</v>
      </c>
      <c r="B7" s="104" t="s">
        <v>136</v>
      </c>
      <c r="C7" s="105">
        <f>G2+G4/G6+(9!H13-9!H14)/'11'!G6</f>
        <v>149891.84333566207</v>
      </c>
    </row>
    <row r="8" spans="1:3" s="103" customFormat="1" ht="15">
      <c r="A8" s="100">
        <v>6</v>
      </c>
      <c r="B8" s="104" t="s">
        <v>137</v>
      </c>
      <c r="C8" s="105">
        <f>100-((-9!I12-'10'!I10*9!I17)*100/(('10'!I4*'10'!I7-'10'!I8)*9!I17))</f>
        <v>41.47861678627171</v>
      </c>
    </row>
    <row r="9" spans="1:3" s="103" customFormat="1" ht="15">
      <c r="A9" s="100">
        <v>7</v>
      </c>
      <c r="B9" s="104" t="s">
        <v>138</v>
      </c>
      <c r="C9" s="105">
        <v>28.93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Павлыченко Анна</cp:lastModifiedBy>
  <cp:lastPrinted>2003-01-24T08:23:37Z</cp:lastPrinted>
  <dcterms:created xsi:type="dcterms:W3CDTF">1996-10-08T23:32:33Z</dcterms:created>
  <dcterms:modified xsi:type="dcterms:W3CDTF">2003-02-19T07:14:21Z</dcterms:modified>
  <cp:category/>
  <cp:version/>
  <cp:contentType/>
  <cp:contentStatus/>
</cp:coreProperties>
</file>